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45" yWindow="-150" windowWidth="8220" windowHeight="3465" tabRatio="759" activeTab="10"/>
  </bookViews>
  <sheets>
    <sheet name="مستورد" sheetId="3" r:id="rId1"/>
    <sheet name="مستورد 2" sheetId="664" r:id="rId2"/>
    <sheet name="سلسلة زمنية (2)" sheetId="41228" r:id="rId3"/>
    <sheet name="كهرباء 1" sheetId="41219" r:id="rId4"/>
    <sheet name="كهرباء 2" sheetId="41220" r:id="rId5"/>
    <sheet name="كهرباء 3" sheetId="41227" r:id="rId6"/>
    <sheet name="سولار التوليد" sheetId="41221" r:id="rId7"/>
    <sheet name="أسعار الضفة" sheetId="768" r:id="rId8"/>
    <sheet name="أسعار القدس" sheetId="41225" r:id="rId9"/>
    <sheet name="أسعار غزة" sheetId="41226" r:id="rId10"/>
    <sheet name="الميزان بالتيراجول" sheetId="41230" r:id="rId11"/>
    <sheet name="الميزان بالوحدات الفيزيائية" sheetId="41231"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7">'أسعار الضفة'!$A$1:$G$22</definedName>
    <definedName name="_xlnm.Print_Area" localSheetId="8">'أسعار القدس'!$A$1:$G$21</definedName>
    <definedName name="_xlnm.Print_Area" localSheetId="9">'أسعار غزة'!$A$1:$G$21</definedName>
    <definedName name="_xlnm.Print_Area" localSheetId="2">'سلسلة زمنية (2)'!$A$1:$I$11</definedName>
    <definedName name="_xlnm.Print_Area" localSheetId="6">'سولار التوليد'!$A$1:$D$22</definedName>
    <definedName name="_xlnm.Print_Area" localSheetId="3">'كهرباء 1'!$A$1:$E$21</definedName>
    <definedName name="_xlnm.Print_Area" localSheetId="4">'كهرباء 2'!$A$1:$G$21</definedName>
    <definedName name="_xlnm.Print_Area" localSheetId="5">'كهرباء 3'!$A$1:$H$22</definedName>
    <definedName name="_xlnm.Print_Area" localSheetId="0">مستورد!$A$1:$K$23</definedName>
    <definedName name="_xlnm.Print_Area" localSheetId="1">'مستورد 2'!$A$1:$K$15</definedName>
  </definedNames>
  <calcPr calcId="125725" calcMode="manual"/>
</workbook>
</file>

<file path=xl/calcChain.xml><?xml version="1.0" encoding="utf-8"?>
<calcChain xmlns="http://schemas.openxmlformats.org/spreadsheetml/2006/main">
  <c r="L25" i="41231"/>
  <c r="K25"/>
  <c r="J25"/>
  <c r="J22" s="1"/>
  <c r="I25"/>
  <c r="G25"/>
  <c r="C25"/>
  <c r="C22" s="1"/>
  <c r="C18" s="1"/>
  <c r="C17" s="1"/>
  <c r="L24"/>
  <c r="K24"/>
  <c r="J24"/>
  <c r="I24"/>
  <c r="G24"/>
  <c r="G22" s="1"/>
  <c r="L23"/>
  <c r="L22" s="1"/>
  <c r="C23"/>
  <c r="K22"/>
  <c r="I22"/>
  <c r="H22"/>
  <c r="F22"/>
  <c r="E22"/>
  <c r="E18" s="1"/>
  <c r="E17" s="1"/>
  <c r="D22"/>
  <c r="G21"/>
  <c r="G20" s="1"/>
  <c r="K20"/>
  <c r="J20"/>
  <c r="I20"/>
  <c r="H20"/>
  <c r="H18" s="1"/>
  <c r="H17" s="1"/>
  <c r="L19"/>
  <c r="K19"/>
  <c r="J19"/>
  <c r="J18" s="1"/>
  <c r="J17" s="1"/>
  <c r="I19"/>
  <c r="I18" s="1"/>
  <c r="I17" s="1"/>
  <c r="G19"/>
  <c r="K18"/>
  <c r="K17" s="1"/>
  <c r="F18"/>
  <c r="D18"/>
  <c r="D17" s="1"/>
  <c r="F17"/>
  <c r="L15"/>
  <c r="L14" s="1"/>
  <c r="L16" s="1"/>
  <c r="J15"/>
  <c r="J14" s="1"/>
  <c r="K14"/>
  <c r="L12"/>
  <c r="K12"/>
  <c r="K13" s="1"/>
  <c r="G12"/>
  <c r="C12"/>
  <c r="L9"/>
  <c r="K9"/>
  <c r="J9"/>
  <c r="J12" s="1"/>
  <c r="J13" s="1"/>
  <c r="I9"/>
  <c r="I12" s="1"/>
  <c r="I13" s="1"/>
  <c r="H9"/>
  <c r="H12" s="1"/>
  <c r="G9"/>
  <c r="F9"/>
  <c r="F12" s="1"/>
  <c r="F13" s="1"/>
  <c r="E9"/>
  <c r="E12" s="1"/>
  <c r="E13" s="1"/>
  <c r="C9"/>
  <c r="D8"/>
  <c r="D12" s="1"/>
  <c r="D13" s="1"/>
  <c r="B8"/>
  <c r="B12" s="1"/>
  <c r="G26" i="41230"/>
  <c r="G17" s="1"/>
  <c r="F26"/>
  <c r="B26" s="1"/>
  <c r="M25"/>
  <c r="M22" s="1"/>
  <c r="M18" s="1"/>
  <c r="M17" s="1"/>
  <c r="K25"/>
  <c r="J25"/>
  <c r="H25"/>
  <c r="D25"/>
  <c r="B25"/>
  <c r="M24"/>
  <c r="L24"/>
  <c r="K24"/>
  <c r="B24" s="1"/>
  <c r="J24"/>
  <c r="H24"/>
  <c r="D24"/>
  <c r="L23"/>
  <c r="L22" s="1"/>
  <c r="J23"/>
  <c r="C23"/>
  <c r="B23"/>
  <c r="J22"/>
  <c r="I22"/>
  <c r="I18" s="1"/>
  <c r="I17" s="1"/>
  <c r="H22"/>
  <c r="E22"/>
  <c r="D22"/>
  <c r="C22"/>
  <c r="L21"/>
  <c r="L20" s="1"/>
  <c r="H21"/>
  <c r="B21" s="1"/>
  <c r="M20"/>
  <c r="K20"/>
  <c r="J20"/>
  <c r="I20"/>
  <c r="G20"/>
  <c r="F20"/>
  <c r="E20"/>
  <c r="D20"/>
  <c r="C20"/>
  <c r="C18" s="1"/>
  <c r="C17" s="1"/>
  <c r="M19"/>
  <c r="L19"/>
  <c r="K19"/>
  <c r="J19"/>
  <c r="H19"/>
  <c r="E19"/>
  <c r="D19"/>
  <c r="B19" s="1"/>
  <c r="J18"/>
  <c r="J17" s="1"/>
  <c r="E18"/>
  <c r="F17"/>
  <c r="E17"/>
  <c r="L16"/>
  <c r="K16"/>
  <c r="J16"/>
  <c r="L15"/>
  <c r="K15"/>
  <c r="L14"/>
  <c r="K14"/>
  <c r="B11"/>
  <c r="G10"/>
  <c r="D10"/>
  <c r="D12" s="1"/>
  <c r="B10"/>
  <c r="M8"/>
  <c r="E8"/>
  <c r="E12" s="1"/>
  <c r="E13" s="1"/>
  <c r="D8"/>
  <c r="C8"/>
  <c r="B8" s="1"/>
  <c r="M15"/>
  <c r="M9"/>
  <c r="M12" s="1"/>
  <c r="D9"/>
  <c r="F9"/>
  <c r="F12" s="1"/>
  <c r="F13" s="1"/>
  <c r="H9"/>
  <c r="H12" s="1"/>
  <c r="I9"/>
  <c r="I12" s="1"/>
  <c r="L9"/>
  <c r="L12" s="1"/>
  <c r="B8" i="664"/>
  <c r="F9" i="41227"/>
  <c r="F10"/>
  <c r="F11"/>
  <c r="F12"/>
  <c r="F13"/>
  <c r="F14"/>
  <c r="F15"/>
  <c r="F16"/>
  <c r="F17"/>
  <c r="F18"/>
  <c r="F19"/>
  <c r="F8"/>
  <c r="E7" i="664"/>
  <c r="E19" i="3"/>
  <c r="O8"/>
  <c r="O9"/>
  <c r="O10"/>
  <c r="O11"/>
  <c r="O12"/>
  <c r="O13"/>
  <c r="O14"/>
  <c r="O15"/>
  <c r="O16"/>
  <c r="O17"/>
  <c r="O18"/>
  <c r="O7"/>
  <c r="N8"/>
  <c r="N9"/>
  <c r="N10"/>
  <c r="N11"/>
  <c r="N12"/>
  <c r="N13"/>
  <c r="N14"/>
  <c r="N15"/>
  <c r="N16"/>
  <c r="N17"/>
  <c r="N18"/>
  <c r="N7"/>
  <c r="M14" i="41230" l="1"/>
  <c r="B14" s="1"/>
  <c r="B15"/>
  <c r="L18" i="41231"/>
  <c r="L17" s="1"/>
  <c r="L13" s="1"/>
  <c r="L18" i="41230"/>
  <c r="L17" s="1"/>
  <c r="B18"/>
  <c r="B17" s="1"/>
  <c r="B22"/>
  <c r="H13" i="41231"/>
  <c r="G18"/>
  <c r="G17" s="1"/>
  <c r="G13" s="1"/>
  <c r="C13"/>
  <c r="K9" i="41230"/>
  <c r="K12" s="1"/>
  <c r="C12"/>
  <c r="H20"/>
  <c r="H18" s="1"/>
  <c r="H17" s="1"/>
  <c r="H13" s="1"/>
  <c r="K22"/>
  <c r="K18" s="1"/>
  <c r="K17" s="1"/>
  <c r="J9"/>
  <c r="J12" s="1"/>
  <c r="G9"/>
  <c r="G12" s="1"/>
  <c r="G13" s="1"/>
  <c r="B23" i="41231"/>
  <c r="D18" i="41230"/>
  <c r="D17" s="1"/>
  <c r="B20"/>
  <c r="L12" i="41228"/>
  <c r="B16" i="41231" l="1"/>
  <c r="B22"/>
  <c r="B18" s="1"/>
  <c r="B17" s="1"/>
  <c r="B9" i="41230"/>
  <c r="B12" s="1"/>
  <c r="D19" i="664"/>
  <c r="D18"/>
  <c r="B14" i="41228"/>
  <c r="C14"/>
  <c r="D14"/>
  <c r="E14"/>
  <c r="F14"/>
  <c r="G14"/>
  <c r="B16"/>
  <c r="C16"/>
  <c r="D16"/>
  <c r="D18" s="1"/>
  <c r="E16"/>
  <c r="E18" s="1"/>
  <c r="F16"/>
  <c r="F18" s="1"/>
  <c r="G16"/>
  <c r="G18" s="1"/>
  <c r="B18"/>
  <c r="C18"/>
  <c r="C22"/>
  <c r="D22"/>
  <c r="E22"/>
  <c r="L10"/>
  <c r="C9"/>
  <c r="D9"/>
  <c r="E9"/>
  <c r="F9"/>
  <c r="F22" s="1"/>
  <c r="B9"/>
  <c r="B22" s="1"/>
  <c r="B13" i="41231" l="1"/>
  <c r="M16" i="41230"/>
  <c r="B16" s="1"/>
  <c r="C9" i="41227"/>
  <c r="C10"/>
  <c r="C11"/>
  <c r="C12"/>
  <c r="C13"/>
  <c r="C14"/>
  <c r="C15"/>
  <c r="C16"/>
  <c r="C17"/>
  <c r="C18"/>
  <c r="C19"/>
  <c r="C8"/>
  <c r="D9"/>
  <c r="D10"/>
  <c r="D11"/>
  <c r="D12"/>
  <c r="D13"/>
  <c r="D14"/>
  <c r="D15"/>
  <c r="D16"/>
  <c r="D17"/>
  <c r="D18"/>
  <c r="D19"/>
  <c r="D8"/>
  <c r="B9"/>
  <c r="B10"/>
  <c r="B11"/>
  <c r="B12"/>
  <c r="B13"/>
  <c r="B14"/>
  <c r="B15"/>
  <c r="B16"/>
  <c r="B17"/>
  <c r="B18"/>
  <c r="B19"/>
  <c r="B8"/>
  <c r="B19" i="41219"/>
  <c r="C19"/>
  <c r="D8"/>
  <c r="D9"/>
  <c r="D10"/>
  <c r="D11"/>
  <c r="D12"/>
  <c r="D13"/>
  <c r="D14"/>
  <c r="D15"/>
  <c r="D16"/>
  <c r="D17"/>
  <c r="D18"/>
  <c r="D7"/>
  <c r="D8" i="41220"/>
  <c r="D9"/>
  <c r="D10"/>
  <c r="D11"/>
  <c r="D12"/>
  <c r="D13"/>
  <c r="D14"/>
  <c r="D15"/>
  <c r="D16"/>
  <c r="D17"/>
  <c r="D18"/>
  <c r="D19"/>
  <c r="I14" l="1"/>
  <c r="I15"/>
  <c r="E15" i="41227"/>
  <c r="B14" i="3" s="1"/>
  <c r="E17" i="41227"/>
  <c r="B16" i="3" s="1"/>
  <c r="E9" i="41227"/>
  <c r="B8" i="3" s="1"/>
  <c r="I8" i="41220"/>
  <c r="I12"/>
  <c r="I13"/>
  <c r="E13" i="41227"/>
  <c r="B12" i="3" s="1"/>
  <c r="E11" i="41227"/>
  <c r="B10" i="3" s="1"/>
  <c r="E16" i="41227"/>
  <c r="B15" i="3" s="1"/>
  <c r="E12" i="41227"/>
  <c r="B11" i="3" s="1"/>
  <c r="E10" i="41227"/>
  <c r="B9" i="3" s="1"/>
  <c r="E18" i="41227"/>
  <c r="B17" i="3" s="1"/>
  <c r="E19" i="41227"/>
  <c r="B18" i="3" s="1"/>
  <c r="E14" i="41227"/>
  <c r="B13" i="3" s="1"/>
  <c r="E8" i="41227"/>
  <c r="B7" i="3" s="1"/>
  <c r="I16" i="41220"/>
  <c r="I17"/>
  <c r="I9"/>
  <c r="I18"/>
  <c r="I10"/>
  <c r="I19"/>
  <c r="I11"/>
  <c r="F19" i="41226"/>
  <c r="B19"/>
  <c r="F19" i="768"/>
  <c r="F19" i="41225"/>
  <c r="F24" i="41226" l="1"/>
  <c r="F24" i="41225"/>
  <c r="F26" s="1"/>
  <c r="B27" i="768"/>
  <c r="B28" s="1"/>
  <c r="C27"/>
  <c r="C28" s="1"/>
  <c r="D27"/>
  <c r="D28" s="1"/>
  <c r="E27"/>
  <c r="E28" s="1"/>
  <c r="E29" s="1"/>
  <c r="A28"/>
  <c r="A27"/>
  <c r="D17" i="664"/>
  <c r="C19" i="3"/>
  <c r="D19"/>
  <c r="D26" s="1"/>
  <c r="F19"/>
  <c r="F26" s="1"/>
  <c r="H19"/>
  <c r="I19"/>
  <c r="I26" s="1"/>
  <c r="J19"/>
  <c r="J26" s="1"/>
  <c r="B19" i="41225"/>
  <c r="B19" i="768"/>
  <c r="D19"/>
  <c r="H26" i="3" l="1"/>
  <c r="H7" i="664"/>
  <c r="C26" i="3"/>
  <c r="C7" i="664"/>
  <c r="C29" i="768"/>
  <c r="A29"/>
  <c r="D20" i="41227"/>
  <c r="C20"/>
  <c r="F20"/>
  <c r="F12" i="41221"/>
  <c r="F13" s="1"/>
  <c r="F22"/>
  <c r="F24" s="1"/>
  <c r="I18"/>
  <c r="D7" i="664"/>
  <c r="G19" i="3"/>
  <c r="G26" s="1"/>
  <c r="M8" i="41221"/>
  <c r="D19" i="41219"/>
  <c r="F7" i="664"/>
  <c r="G7"/>
  <c r="J7"/>
  <c r="I7"/>
  <c r="C19" i="768"/>
  <c r="B29" s="1"/>
  <c r="E19"/>
  <c r="D29" s="1"/>
  <c r="E19" i="41226"/>
  <c r="D19"/>
  <c r="C19"/>
  <c r="E19" i="41225"/>
  <c r="D19"/>
  <c r="C19"/>
  <c r="F9" i="41220"/>
  <c r="F10"/>
  <c r="F11"/>
  <c r="F12"/>
  <c r="F13"/>
  <c r="F14"/>
  <c r="F15"/>
  <c r="F16"/>
  <c r="F17"/>
  <c r="F18"/>
  <c r="F19"/>
  <c r="C20"/>
  <c r="B20"/>
  <c r="E20"/>
  <c r="F8"/>
  <c r="C21" i="41221" l="1"/>
  <c r="H7" i="41228"/>
  <c r="J10" s="1"/>
  <c r="D20" i="41220"/>
  <c r="B9" i="664" s="1"/>
  <c r="B7" s="1"/>
  <c r="F20" i="41220"/>
  <c r="G10" i="41227"/>
  <c r="G14"/>
  <c r="G18"/>
  <c r="G8"/>
  <c r="G12"/>
  <c r="G11"/>
  <c r="G19"/>
  <c r="B20"/>
  <c r="G16"/>
  <c r="G15"/>
  <c r="G9"/>
  <c r="G13"/>
  <c r="G17"/>
  <c r="G20" l="1"/>
  <c r="E20"/>
  <c r="B19" i="664"/>
  <c r="B19" i="3" l="1"/>
  <c r="H6" i="41228" s="1"/>
  <c r="H9" s="1"/>
  <c r="B26" i="3" l="1"/>
  <c r="G9" i="41228"/>
  <c r="G22" s="1"/>
</calcChain>
</file>

<file path=xl/comments1.xml><?xml version="1.0" encoding="utf-8"?>
<comments xmlns="http://schemas.openxmlformats.org/spreadsheetml/2006/main">
  <authors>
    <author>PCBS-1</author>
    <author>abdullaha</author>
    <author>Adeb</author>
  </authors>
  <commentList>
    <comment ref="L8" authorId="0">
      <text>
        <r>
          <rPr>
            <b/>
            <sz val="9"/>
            <color indexed="81"/>
            <rFont val="Tahoma"/>
            <family val="2"/>
          </rPr>
          <t>PCBS-1:</t>
        </r>
        <r>
          <rPr>
            <sz val="9"/>
            <color indexed="81"/>
            <rFont val="Tahoma"/>
            <family val="2"/>
          </rPr>
          <t xml:space="preserve">
cap of 7 MWh, istimation based on Jerusalem company data</t>
        </r>
      </text>
    </comment>
    <comment ref="K16" authorId="1">
      <text>
        <r>
          <rPr>
            <b/>
            <sz val="9"/>
            <color indexed="81"/>
            <rFont val="Tahoma"/>
            <family val="2"/>
          </rPr>
          <t>abdullaha:</t>
        </r>
        <r>
          <rPr>
            <sz val="9"/>
            <color indexed="81"/>
            <rFont val="Tahoma"/>
            <family val="2"/>
          </rPr>
          <t xml:space="preserve">
نسب الخسائر من الميزان السابق وهي نتيجة للتطاير والتعبئة</t>
        </r>
      </text>
    </comment>
    <comment ref="L16" authorId="1">
      <text>
        <r>
          <rPr>
            <b/>
            <sz val="8"/>
            <color indexed="81"/>
            <rFont val="Tahoma"/>
            <family val="2"/>
          </rPr>
          <t>abdullaha:</t>
        </r>
        <r>
          <rPr>
            <sz val="8"/>
            <color indexed="81"/>
            <rFont val="Tahoma"/>
            <family val="2"/>
          </rPr>
          <t xml:space="preserve">
12
% خسائر الشبكة</t>
        </r>
      </text>
    </comment>
    <comment ref="K23" authorId="2">
      <text>
        <r>
          <rPr>
            <b/>
            <sz val="9"/>
            <color indexed="81"/>
            <rFont val="Tahoma"/>
            <family val="2"/>
          </rPr>
          <t>Adeb:</t>
        </r>
        <r>
          <rPr>
            <sz val="9"/>
            <color indexed="81"/>
            <rFont val="Tahoma"/>
            <family val="2"/>
          </rPr>
          <t xml:space="preserve">
تدفئة
منزلي 5125 وحكومة 1000</t>
        </r>
      </text>
    </comment>
    <comment ref="L23" authorId="1">
      <text>
        <r>
          <rPr>
            <b/>
            <sz val="9"/>
            <color indexed="81"/>
            <rFont val="Tahoma"/>
            <family val="2"/>
          </rPr>
          <t>abdullaha:</t>
        </r>
        <r>
          <rPr>
            <sz val="9"/>
            <color indexed="81"/>
            <rFont val="Tahoma"/>
            <family val="2"/>
          </rPr>
          <t xml:space="preserve">
تم اضافة 15% كسرقات من الاستهلاك المنزلي</t>
        </r>
      </text>
    </comment>
  </commentList>
</comments>
</file>

<file path=xl/sharedStrings.xml><?xml version="1.0" encoding="utf-8"?>
<sst xmlns="http://schemas.openxmlformats.org/spreadsheetml/2006/main" count="581" uniqueCount="277">
  <si>
    <t>الشهر</t>
  </si>
  <si>
    <t>Month</t>
  </si>
  <si>
    <t>المنطقة</t>
  </si>
  <si>
    <t>Region</t>
  </si>
  <si>
    <t>Energy Type</t>
  </si>
  <si>
    <t>Average Annual Price</t>
  </si>
  <si>
    <t>غاز البترول المسيل  (طن)</t>
  </si>
  <si>
    <t xml:space="preserve"> Electricity  (MWh)</t>
  </si>
  <si>
    <t>الكهرباء  (ميجاواط.ساعة)</t>
  </si>
  <si>
    <t xml:space="preserve">      الزيوت والشحوم      (طن)</t>
  </si>
  <si>
    <t xml:space="preserve"> Oils and Lubricants (Ton)</t>
  </si>
  <si>
    <t xml:space="preserve"> LPG (Ton)</t>
  </si>
  <si>
    <t xml:space="preserve">       البنزين       (ألف لتر)</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</si>
  <si>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</si>
  <si>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</si>
  <si>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</si>
  <si>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</si>
  <si>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</si>
  <si>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</si>
  <si>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</si>
  <si>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</si>
  <si>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</si>
  <si>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</si>
  <si>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</si>
  <si>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January  </t>
  </si>
  <si>
    <t xml:space="preserve"> January</t>
  </si>
  <si>
    <t>Kerosene (NIS/Liter)</t>
  </si>
  <si>
    <t>Coal (NIS/Kg)</t>
  </si>
  <si>
    <t>Diesel (NIS/Liter)</t>
  </si>
  <si>
    <t xml:space="preserve"> قطاع غزة</t>
  </si>
  <si>
    <t xml:space="preserve"> Gaza Strip</t>
  </si>
  <si>
    <t xml:space="preserve"> Total</t>
  </si>
  <si>
    <t xml:space="preserve"> شباط</t>
  </si>
  <si>
    <t xml:space="preserve"> آذار</t>
  </si>
  <si>
    <t xml:space="preserve"> نيسان</t>
  </si>
  <si>
    <t xml:space="preserve"> أيار</t>
  </si>
  <si>
    <t xml:space="preserve"> حزيران  </t>
  </si>
  <si>
    <t xml:space="preserve"> تموز</t>
  </si>
  <si>
    <t xml:space="preserve"> آب</t>
  </si>
  <si>
    <t xml:space="preserve"> أيلول</t>
  </si>
  <si>
    <t xml:space="preserve"> المجموع</t>
  </si>
  <si>
    <t xml:space="preserve"> كانون ثاني </t>
  </si>
  <si>
    <t xml:space="preserve"> حزيران</t>
  </si>
  <si>
    <t xml:space="preserve"> تشرين أول</t>
  </si>
  <si>
    <t xml:space="preserve"> تشرين ثاني</t>
  </si>
  <si>
    <t xml:space="preserve"> كانون أول</t>
  </si>
  <si>
    <t xml:space="preserve"> معدل السعر السنوي</t>
  </si>
  <si>
    <t xml:space="preserve"> كانون ثاني</t>
  </si>
  <si>
    <t xml:space="preserve"> تشرين أول </t>
  </si>
  <si>
    <t>شركة الكهرباء الاسرائيلية</t>
  </si>
  <si>
    <t>(-): لا يوجد</t>
  </si>
  <si>
    <t>مصر</t>
  </si>
  <si>
    <t>الأردن</t>
  </si>
  <si>
    <t>Jordan</t>
  </si>
  <si>
    <t>Egypt</t>
  </si>
  <si>
    <t>السنة</t>
  </si>
  <si>
    <t>(1000 Liter)</t>
  </si>
  <si>
    <t>(ميجاواط.ساعة)</t>
  </si>
  <si>
    <t>(MWh)</t>
  </si>
  <si>
    <t>Year</t>
  </si>
  <si>
    <t xml:space="preserve"> Bitumen (Ton)</t>
  </si>
  <si>
    <t>المصدر</t>
  </si>
  <si>
    <t>Source</t>
  </si>
  <si>
    <t>شكل الطاقة</t>
  </si>
  <si>
    <t xml:space="preserve">    القار (طن) </t>
  </si>
  <si>
    <t xml:space="preserve"> Bitumen  (Ton)</t>
  </si>
  <si>
    <t xml:space="preserve">    الكاز     (شيقل/لتر)</t>
  </si>
  <si>
    <t xml:space="preserve">    الفحم     (شيقل/كغم)</t>
  </si>
  <si>
    <t xml:space="preserve">    السولار    (شيقل/لتر)</t>
  </si>
  <si>
    <t xml:space="preserve">      الكاز 
     (ألف لتر) </t>
  </si>
  <si>
    <t>(-): Nill</t>
  </si>
  <si>
    <t>مصدر الطاقة الكهربائية</t>
  </si>
  <si>
    <t>Source of Electricity</t>
  </si>
  <si>
    <t>من السولر</t>
  </si>
  <si>
    <t>من البنزين</t>
  </si>
  <si>
    <t>الكهرباء المولدة</t>
  </si>
  <si>
    <t>مستورد</t>
  </si>
  <si>
    <t>غاز البترول المسيل (شيقل/12 كغم)</t>
  </si>
  <si>
    <t xml:space="preserve">     LPG     (NIS/12 Kg)</t>
  </si>
  <si>
    <r>
      <t>البنزين</t>
    </r>
    <r>
      <rPr>
        <vertAlign val="superscript"/>
        <sz val="9"/>
        <rFont val="Simplified Arabic"/>
        <family val="1"/>
      </rPr>
      <t>(2)</t>
    </r>
    <r>
      <rPr>
        <sz val="9"/>
        <rFont val="Simplified Arabic"/>
        <family val="1"/>
      </rPr>
      <t xml:space="preserve"> (شيقل/لتر)</t>
    </r>
  </si>
  <si>
    <r>
      <t>Gasoline</t>
    </r>
    <r>
      <rPr>
        <vertAlign val="superscript"/>
        <sz val="9"/>
        <rFont val="Arial"/>
        <family val="2"/>
      </rPr>
      <t>(2)</t>
    </r>
    <r>
      <rPr>
        <sz val="9"/>
        <rFont val="Arial"/>
        <family val="2"/>
        <charset val="178"/>
      </rPr>
      <t xml:space="preserve"> (NIS/Liter)</t>
    </r>
  </si>
  <si>
    <t>(2) يشير إلى بنزين 95 بدون رصاص- إسرائيلي.</t>
  </si>
  <si>
    <t>* يشير إلى بنزين 95 بدون رصاص- إسرائيلي.</t>
  </si>
  <si>
    <t>(1) Data (excluding  electricity data) dosn't include the part of Jerusalem,which was annexed forcefully by Israel following its occupation of the West Bank in 1967.</t>
  </si>
  <si>
    <r>
      <t>الكهرباء</t>
    </r>
    <r>
      <rPr>
        <sz val="9"/>
        <rFont val="Simplified Arabic"/>
        <family val="1"/>
      </rPr>
      <t xml:space="preserve">  (ميجاواط.ساعة)</t>
    </r>
  </si>
  <si>
    <r>
      <t xml:space="preserve"> Electricity</t>
    </r>
    <r>
      <rPr>
        <sz val="9"/>
        <rFont val="Arial"/>
        <family val="2"/>
        <charset val="178"/>
      </rPr>
      <t xml:space="preserve">  (MWh)</t>
    </r>
  </si>
  <si>
    <t xml:space="preserve">  القار (طن)</t>
  </si>
  <si>
    <t xml:space="preserve"> Imported  Electricity</t>
  </si>
  <si>
    <t>المصادر:</t>
  </si>
  <si>
    <t>Sources:</t>
  </si>
  <si>
    <t xml:space="preserve">  Wood and Charcoal (Tons)</t>
  </si>
  <si>
    <t xml:space="preserve">  الحطب والفحم (طن) </t>
  </si>
  <si>
    <t>المجموع
Total</t>
  </si>
  <si>
    <t xml:space="preserve"> فلسطين</t>
  </si>
  <si>
    <t xml:space="preserve"> الضفة الغربية</t>
  </si>
  <si>
    <t xml:space="preserve"> Palestine</t>
  </si>
  <si>
    <t xml:space="preserve"> West Bank</t>
  </si>
  <si>
    <t>مشتراة من الشركة الفلسطينية للكهرباء</t>
  </si>
  <si>
    <t>Purchased from Palestine Electric Company</t>
  </si>
  <si>
    <t xml:space="preserve"> * تمثل بيانات التوليد الذاتي والتي يتم تقديرها من بيانات المسوح التي ينفذها الجهاز.</t>
  </si>
  <si>
    <t xml:space="preserve"> * Data Represent self-generation which was estimated from the data of the surveys carried out by PCBS.</t>
  </si>
  <si>
    <t>Imported</t>
  </si>
  <si>
    <r>
      <t xml:space="preserve">(1) البيانات لا تشمل ذلك الجزء من محافظة القدس الذي ضمته إسرائيل عنوة بعيد احتلالها للضفة الغربية عام </t>
    </r>
    <r>
      <rPr>
        <sz val="9"/>
        <rFont val="Times New Roman"/>
        <family val="1"/>
        <charset val="178"/>
      </rPr>
      <t>1967.</t>
    </r>
  </si>
  <si>
    <t xml:space="preserve">* Refers to the Israeli 95 gasoline. </t>
  </si>
  <si>
    <t xml:space="preserve"> (2) Refers to the Israeli 95 gasoline. </t>
  </si>
  <si>
    <r>
      <t>مشتراة من الشركة</t>
    </r>
    <r>
      <rPr>
        <b/>
        <sz val="9"/>
        <rFont val="Arial"/>
        <family val="2"/>
      </rPr>
      <t xml:space="preserve"> </t>
    </r>
    <r>
      <rPr>
        <b/>
        <sz val="9"/>
        <rFont val="Simplified Arabic"/>
        <family val="1"/>
      </rPr>
      <t>الفلسطينية</t>
    </r>
    <r>
      <rPr>
        <b/>
        <sz val="9"/>
        <rFont val="Arial"/>
        <family val="2"/>
      </rPr>
      <t xml:space="preserve"> </t>
    </r>
    <r>
      <rPr>
        <b/>
        <sz val="9"/>
        <rFont val="Simplified Arabic"/>
        <family val="1"/>
      </rPr>
      <t>للكهرباء</t>
    </r>
    <r>
      <rPr>
        <b/>
        <sz val="9"/>
        <rFont val="Arial"/>
        <family val="2"/>
      </rPr>
      <t xml:space="preserve"> </t>
    </r>
  </si>
  <si>
    <t xml:space="preserve"> Purchased from Palestine Electric Company</t>
  </si>
  <si>
    <t xml:space="preserve"> Gasoline (Thousand Liter)</t>
  </si>
  <si>
    <t xml:space="preserve"> Kerosene  (Thousand Liter)</t>
  </si>
  <si>
    <t xml:space="preserve">     Diesel     (Thousand Liter)</t>
  </si>
  <si>
    <t xml:space="preserve"> Kerosene (Thousand Liter)</t>
  </si>
  <si>
    <t xml:space="preserve">Diesel Quantities Delivered (Thousand Liter)         </t>
  </si>
  <si>
    <t>Electricity Produced (MWh)</t>
  </si>
  <si>
    <t>كمية الطاقة الكهربائية المنتجة (ميجاواط.ساعة)</t>
  </si>
  <si>
    <t xml:space="preserve">      كمية  السولار المزودة      
(ألف لتر)</t>
  </si>
  <si>
    <t xml:space="preserve"> (1) Data exclude that part of Jerusalem, which was annexed forcefully by Israel following its occupation of the West Bank in 1967.</t>
  </si>
  <si>
    <t xml:space="preserve">      السولار        (ألف لتر)</t>
  </si>
  <si>
    <t xml:space="preserve">      السولار          (ألف لتر)</t>
  </si>
  <si>
    <t xml:space="preserve">      الكاز          (ألف لتر) </t>
  </si>
  <si>
    <r>
      <t>شكل الطاقة</t>
    </r>
    <r>
      <rPr>
        <b/>
        <vertAlign val="superscript"/>
        <sz val="9"/>
        <rFont val="Simplified Arabic"/>
        <family val="1"/>
      </rPr>
      <t>(1)</t>
    </r>
  </si>
  <si>
    <r>
      <t>Energy Type</t>
    </r>
    <r>
      <rPr>
        <b/>
        <vertAlign val="superscript"/>
        <sz val="9"/>
        <rFont val="Arial"/>
        <family val="2"/>
      </rPr>
      <t>(1)</t>
    </r>
  </si>
  <si>
    <r>
      <t>شكل الطاقة</t>
    </r>
    <r>
      <rPr>
        <b/>
        <vertAlign val="superscript"/>
        <sz val="11"/>
        <rFont val="Simplified Arabic"/>
        <family val="1"/>
      </rPr>
      <t>*</t>
    </r>
    <r>
      <rPr>
        <b/>
        <vertAlign val="subscript"/>
        <sz val="11"/>
        <rFont val="Simplified Arabic"/>
        <family val="1"/>
      </rPr>
      <t xml:space="preserve"> </t>
    </r>
    <r>
      <rPr>
        <b/>
        <sz val="9"/>
        <rFont val="Simplified Arabic"/>
        <family val="1"/>
      </rPr>
      <t xml:space="preserve">         </t>
    </r>
  </si>
  <si>
    <r>
      <t>Type of Energy</t>
    </r>
    <r>
      <rPr>
        <b/>
        <vertAlign val="superscript"/>
        <sz val="11"/>
        <rFont val="Arial"/>
        <family val="2"/>
      </rPr>
      <t>*</t>
    </r>
  </si>
  <si>
    <r>
      <t>شكل الطاقة</t>
    </r>
    <r>
      <rPr>
        <b/>
        <vertAlign val="superscript"/>
        <sz val="11"/>
        <rFont val="Simplified Arabic"/>
        <family val="1"/>
      </rPr>
      <t>*</t>
    </r>
    <r>
      <rPr>
        <b/>
        <sz val="9"/>
        <rFont val="Simplified Arabic"/>
        <family val="1"/>
      </rPr>
      <t xml:space="preserve">         </t>
    </r>
  </si>
  <si>
    <r>
      <t xml:space="preserve"> Self-Generation Produced Electricity</t>
    </r>
    <r>
      <rPr>
        <vertAlign val="superscript"/>
        <sz val="11"/>
        <rFont val="Arial"/>
        <family val="2"/>
      </rPr>
      <t>*</t>
    </r>
  </si>
  <si>
    <r>
      <t>البنزين</t>
    </r>
    <r>
      <rPr>
        <sz val="11"/>
        <rFont val="Simplified Arabic"/>
        <family val="1"/>
      </rPr>
      <t>*</t>
    </r>
    <r>
      <rPr>
        <sz val="9"/>
        <rFont val="Simplified Arabic"/>
        <family val="1"/>
      </rPr>
      <t xml:space="preserve"> (شيقل/لتر)</t>
    </r>
  </si>
  <si>
    <r>
      <t>Gasoline</t>
    </r>
    <r>
      <rPr>
        <sz val="11"/>
        <rFont val="Arial"/>
        <family val="2"/>
      </rPr>
      <t>*</t>
    </r>
    <r>
      <rPr>
        <sz val="9"/>
        <rFont val="Arial"/>
        <family val="2"/>
        <charset val="178"/>
      </rPr>
      <t xml:space="preserve"> (NIS/Liter)</t>
    </r>
  </si>
  <si>
    <t>Israeli Electricity Company</t>
  </si>
  <si>
    <t xml:space="preserve">الشهر          </t>
  </si>
  <si>
    <t xml:space="preserve">الشهر            </t>
  </si>
  <si>
    <t>* البيانات (باستثناء الكهرباء) لا تشمل ذلك الجزء من محافظة القدس الذي ضمته إسرائيل عنوة بعيد احتلالها للضفة الغربية عام 1967.</t>
  </si>
  <si>
    <t>* Data (except electricity) exclude that part of Jerusalem,which was annexed forcefully by Israel following its occupation of the West Bank in 1967.</t>
  </si>
  <si>
    <t xml:space="preserve"> * Data (except electricity) exclude that part of Jerusalem, which was annexed forcefully by Israel following its occupation of the West Bank in 1967.</t>
  </si>
  <si>
    <t>الطاقة الكهربائية المستوردة</t>
  </si>
  <si>
    <r>
      <t>الطاقة الكهربائية المنتجة ذاتياً</t>
    </r>
    <r>
      <rPr>
        <vertAlign val="superscript"/>
        <sz val="9"/>
        <rFont val="Simplified Arabic"/>
        <family val="1"/>
      </rPr>
      <t xml:space="preserve"> </t>
    </r>
    <r>
      <rPr>
        <vertAlign val="superscript"/>
        <sz val="11"/>
        <rFont val="Simplified Arabic"/>
        <family val="1"/>
      </rPr>
      <t>*</t>
    </r>
  </si>
  <si>
    <t xml:space="preserve">      زيت الوقود        (ألف لتر)</t>
  </si>
  <si>
    <t xml:space="preserve">     Fuel Oil     (Thousand Liter)</t>
  </si>
  <si>
    <r>
      <t xml:space="preserve">جدول </t>
    </r>
    <r>
      <rPr>
        <b/>
        <sz val="11"/>
        <rFont val="Times New Roman"/>
        <family val="1"/>
        <charset val="178"/>
      </rPr>
      <t>1:</t>
    </r>
    <r>
      <rPr>
        <b/>
        <sz val="11"/>
        <rFont val="Simplified Arabic"/>
        <family val="1"/>
      </rPr>
      <t xml:space="preserve">  الطاقة المستوردة في فلسطين حسب شكل الطاقة والشهر، </t>
    </r>
    <r>
      <rPr>
        <b/>
        <sz val="11"/>
        <rFont val="Times New Roman"/>
        <family val="1"/>
        <charset val="178"/>
      </rPr>
      <t>2015</t>
    </r>
  </si>
  <si>
    <t>Table 1:  Imported Energy in Palestine by Type of Energy and Month, 2015</t>
  </si>
  <si>
    <t>سلطة الطاقة والموارد الطبيعية الفلسطينية، 2016.  بيانات غير منشورة.  رام الله -  فلسطين</t>
  </si>
  <si>
    <t>الهيئة العامة للبترول، 2016.  بيانات غير منشورة.  رام الله -  فلسطين</t>
  </si>
  <si>
    <t>Palestinian Energy and Natural Resources Authority, 2016. Unpublished Data.  Ramallah -Palestine</t>
  </si>
  <si>
    <t xml:space="preserve">Palestinian General Petroleum Corporation, 2016.  Unpublished Data.  Ramallah - Palestine </t>
  </si>
  <si>
    <r>
      <t xml:space="preserve">جدول </t>
    </r>
    <r>
      <rPr>
        <b/>
        <sz val="11"/>
        <rFont val="Times New Roman"/>
        <family val="1"/>
        <charset val="178"/>
      </rPr>
      <t>2:</t>
    </r>
    <r>
      <rPr>
        <b/>
        <sz val="11"/>
        <rFont val="Simplified Arabic"/>
        <family val="1"/>
      </rPr>
      <t xml:space="preserve">  الطاقة المستوردة في فلسطين حسب شكل الطاقة والمنطقة، </t>
    </r>
    <r>
      <rPr>
        <b/>
        <sz val="11"/>
        <rFont val="Times New Roman"/>
        <family val="1"/>
        <charset val="178"/>
      </rPr>
      <t>2015</t>
    </r>
    <r>
      <rPr>
        <b/>
        <sz val="11"/>
        <rFont val="Simplified Arabic"/>
        <family val="1"/>
      </rPr>
      <t xml:space="preserve"> </t>
    </r>
  </si>
  <si>
    <t>Table 2:  Imported Energy in Palestine by Type of Energy and Region, 2015</t>
  </si>
  <si>
    <t>Palestinian Energy and Natural Resources Authority, 2016. Unpublished Data.  Ramallah - Palestine</t>
  </si>
  <si>
    <t>Palestinian General Petroleum Corporation, 2016.  Unpublished Data.  Ramallah - Palestine</t>
  </si>
  <si>
    <r>
      <rPr>
        <b/>
        <sz val="9"/>
        <rFont val="Simplified Arabic"/>
        <family val="1"/>
      </rPr>
      <t>المصدر:</t>
    </r>
    <r>
      <rPr>
        <sz val="9"/>
        <rFont val="Simplified Arabic"/>
        <family val="1"/>
      </rPr>
      <t xml:space="preserve"> سلطة الطاقة والموارد الطبيعية الفلسطينية، 2016.  بيانات غير منشورة.  
رام الله -  فلسطين.</t>
    </r>
  </si>
  <si>
    <r>
      <rPr>
        <b/>
        <sz val="9"/>
        <rFont val="Arial"/>
        <family val="2"/>
      </rPr>
      <t xml:space="preserve"> Source:</t>
    </r>
    <r>
      <rPr>
        <sz val="9"/>
        <rFont val="Arial"/>
        <family val="2"/>
      </rPr>
      <t xml:space="preserve"> Palestinian Energy and Natural Resources Authority, 2016. Unpublished Data.      Ramallah - Palestine</t>
    </r>
  </si>
  <si>
    <t>جدول 3: كمية الطاقة الكهربائية (ميجاواط. ساعة) المتاحة في فلسطين حسب السنة ومصدر الطاقة الكهربائية، 2009-2015</t>
  </si>
  <si>
    <t xml:space="preserve">Table 3: Quantity of Available Electricity (MWh) in Palestine by Year and Source of Electrical Energy, 2009-2015
</t>
  </si>
  <si>
    <t>جدول 4: كمية الطاقة الكهربائية المستوردة (ميجاواط.ساعة) في الضفة الغربية حسب المصدر والشهر، 2015</t>
  </si>
  <si>
    <t>Table 4:  Quantity of Electricity Imported (MWh) in the West Bank 
by Source and Month, 2015</t>
  </si>
  <si>
    <r>
      <rPr>
        <b/>
        <sz val="9"/>
        <rFont val="Simplified Arabic"/>
        <family val="1"/>
      </rPr>
      <t>المصدر:</t>
    </r>
    <r>
      <rPr>
        <sz val="9"/>
        <rFont val="Simplified Arabic"/>
        <family val="1"/>
      </rPr>
      <t xml:space="preserve">  سلطة الطاقة والموارد الطبيعية الفلسطينية، 2016.  بيانات غير منشورة.  رام الله - فلسطين</t>
    </r>
  </si>
  <si>
    <r>
      <rPr>
        <b/>
        <sz val="10"/>
        <rFont val="Arial"/>
        <family val="2"/>
      </rPr>
      <t>Source:</t>
    </r>
    <r>
      <rPr>
        <sz val="10"/>
        <rFont val="Arial"/>
        <family val="2"/>
      </rPr>
      <t xml:space="preserve"> Palestinian Energy and Natural Resources Authority, 2016. Unpublished Data.  Ramallah - Palestine</t>
    </r>
  </si>
  <si>
    <r>
      <rPr>
        <b/>
        <sz val="9"/>
        <rFont val="Arial"/>
        <family val="2"/>
        <scheme val="minor"/>
      </rPr>
      <t>Source:</t>
    </r>
    <r>
      <rPr>
        <sz val="9"/>
        <rFont val="Arial"/>
        <family val="2"/>
        <scheme val="minor"/>
      </rPr>
      <t xml:space="preserve"> Palestinian Energy and Natural Resources Authority, 2016. Unpublished Data.  Ramallah - Palestine</t>
    </r>
  </si>
  <si>
    <t>جدول 5: كمية الطاقة الكهربائية المستوردة والمشتراة (ميجاواط.ساعة) في قطاع غزة حسب المصدر والشهر، 2015</t>
  </si>
  <si>
    <t>Table 5:  Quantity of Electricity Imported and Purchased (MWh) in Gaza Strip by Source and Month, 2015</t>
  </si>
  <si>
    <r>
      <rPr>
        <b/>
        <sz val="9"/>
        <rFont val="Arial"/>
        <family val="2"/>
      </rPr>
      <t>Source:</t>
    </r>
    <r>
      <rPr>
        <sz val="9"/>
        <rFont val="Arial"/>
        <family val="2"/>
      </rPr>
      <t xml:space="preserve"> Palestinian Energy and Natural Resources Authority, 2016. Unpublished Data.  Ramallah - Palestine</t>
    </r>
  </si>
  <si>
    <r>
      <rPr>
        <b/>
        <sz val="9"/>
        <rFont val="Simplified Arabic"/>
        <family val="1"/>
      </rPr>
      <t>المصدر:</t>
    </r>
    <r>
      <rPr>
        <sz val="9"/>
        <rFont val="Simplified Arabic"/>
        <family val="1"/>
      </rPr>
      <t xml:space="preserve">  سلطة الطاقة والموارد الطبيعية الفلسطينية، 2016.  بيانات غير منشورة.  
رام الله-فلسطين</t>
    </r>
  </si>
  <si>
    <r>
      <rPr>
        <b/>
        <sz val="9"/>
        <rFont val="Arial"/>
        <family val="2"/>
        <scheme val="minor"/>
      </rPr>
      <t>Source:</t>
    </r>
    <r>
      <rPr>
        <sz val="9"/>
        <rFont val="Arial"/>
        <family val="2"/>
        <scheme val="minor"/>
      </rPr>
      <t xml:space="preserve"> Palestinian Energy and Natural Resources Authority, 2016. Unpublished Data. Ramallah - Palestine </t>
    </r>
  </si>
  <si>
    <r>
      <t xml:space="preserve">جدول </t>
    </r>
    <r>
      <rPr>
        <b/>
        <sz val="11"/>
        <rFont val="Times New Roman"/>
        <family val="1"/>
        <charset val="178"/>
      </rPr>
      <t>8:</t>
    </r>
    <r>
      <rPr>
        <b/>
        <sz val="11"/>
        <rFont val="Simplified Arabic"/>
        <family val="1"/>
      </rPr>
      <t xml:space="preserve">  متوسطات أسعار المستهلك في الضفة الغربية لبعض أشكال الطاقة حسب الشهر، </t>
    </r>
    <r>
      <rPr>
        <b/>
        <sz val="11"/>
        <rFont val="Times New Roman"/>
        <family val="1"/>
        <charset val="178"/>
      </rPr>
      <t>2015</t>
    </r>
  </si>
  <si>
    <t>Table 8:  Average Consumer Prices in the West Bank for Selected Energy Types by Month, 2015</t>
  </si>
  <si>
    <r>
      <rPr>
        <b/>
        <sz val="9"/>
        <rFont val="Simplified Arabic"/>
        <family val="1"/>
      </rPr>
      <t>المصدر:</t>
    </r>
    <r>
      <rPr>
        <sz val="9"/>
        <rFont val="Simplified Arabic"/>
        <family val="1"/>
      </rPr>
      <t xml:space="preserve"> الجهاز المركزي للإحصاء الفلسطيني، 2016. مسح أسعار المستهلك 2015.  رام الله – فلسطين.</t>
    </r>
  </si>
  <si>
    <r>
      <rPr>
        <b/>
        <sz val="9"/>
        <rFont val="Arial"/>
        <family val="2"/>
      </rPr>
      <t>Source:</t>
    </r>
    <r>
      <rPr>
        <sz val="9"/>
        <rFont val="Arial"/>
        <family val="2"/>
        <charset val="178"/>
      </rPr>
      <t xml:space="preserve"> Palestinian Central Bureau of Statistics, 2016. Consumer Price Survey 2015.  Ramallah - Palestine.</t>
    </r>
  </si>
  <si>
    <r>
      <rPr>
        <b/>
        <sz val="9"/>
        <rFont val="Arial"/>
        <family val="2"/>
      </rPr>
      <t>Source:</t>
    </r>
    <r>
      <rPr>
        <sz val="9"/>
        <rFont val="Arial"/>
        <family val="2"/>
      </rPr>
      <t xml:space="preserve"> Palestinian Central Bureau of Statistics, 2016. Consumer Price Survey 2015.  Ramallah - Palestine</t>
    </r>
  </si>
  <si>
    <r>
      <rPr>
        <b/>
        <sz val="9"/>
        <rFont val="Arial"/>
        <family val="2"/>
      </rPr>
      <t>Source:</t>
    </r>
    <r>
      <rPr>
        <sz val="9"/>
        <rFont val="Arial"/>
        <family val="2"/>
      </rPr>
      <t xml:space="preserve"> Palestinian Central Bureau of Statistics, 2016. Consumer Price Survey 2015.  Ramallah - Palestine.</t>
    </r>
  </si>
  <si>
    <t xml:space="preserve">    Diesel   (Thousand Liter)</t>
  </si>
  <si>
    <t>جدول 6: كمية الطاقة الكهربائية المستوردة والمشتراة (ميجاواط.ساعة) في فلسطين حسب المصدر والشهر، 2015</t>
  </si>
  <si>
    <t>Table 6: Quantity of Electricity Imported and Purchased (MWh) in Palestine 
  by Source and Month, 2015</t>
  </si>
  <si>
    <t>جدول 7: كمية السولار المزودة للشركة الفلسطينية للكهرباء في قطاع غزة وكمية الطاقة الكهربائية المنتجة منها حسب السنة، 2002-2015</t>
  </si>
  <si>
    <t>Table 7:  Diesel Quantities Delivered to Palestine Electric Company in Gaza Strip and Electricity Produced from it by Year, 2002-2015</t>
  </si>
  <si>
    <r>
      <t xml:space="preserve">جدول </t>
    </r>
    <r>
      <rPr>
        <b/>
        <sz val="11"/>
        <rFont val="Times New Roman"/>
        <family val="1"/>
        <charset val="178"/>
      </rPr>
      <t>9:</t>
    </r>
    <r>
      <rPr>
        <b/>
        <sz val="11"/>
        <rFont val="Simplified Arabic"/>
        <family val="1"/>
      </rPr>
      <t xml:space="preserve"> متوسطات أسعار المستهلك في القدس  لبعض أشكال الطاقة حسب الشهر، </t>
    </r>
    <r>
      <rPr>
        <b/>
        <sz val="11"/>
        <rFont val="Times New Roman"/>
        <family val="1"/>
        <charset val="178"/>
      </rPr>
      <t>2015</t>
    </r>
  </si>
  <si>
    <r>
      <t xml:space="preserve">جدول </t>
    </r>
    <r>
      <rPr>
        <b/>
        <sz val="12"/>
        <rFont val="Times New Roman"/>
        <family val="1"/>
        <charset val="178"/>
      </rPr>
      <t>10:</t>
    </r>
    <r>
      <rPr>
        <b/>
        <sz val="12"/>
        <rFont val="Simplified Arabic"/>
        <family val="1"/>
      </rPr>
      <t xml:space="preserve">  متوسطات أسعار المستهلك في قطاع غزة لبعض أشكال الطاقة حسب الشهر، 2015</t>
    </r>
  </si>
  <si>
    <t>Table 9:  Average Consumer Prices in Jerusalem for Selected Energy Types by Month, 2015</t>
  </si>
  <si>
    <t>Table 10: Average Consumer Prices in Gaza Strip for Selected Energy Types by Month, 2015</t>
  </si>
  <si>
    <t>جدول 11: ميزان الطاقة الفلسطيني بالوحدات الفيزيائية، 2015</t>
  </si>
  <si>
    <t>Table 11: Energy Balance of Palestine in Physical Units, 2015</t>
  </si>
  <si>
    <t>Flows</t>
  </si>
  <si>
    <t>Energy Products</t>
  </si>
  <si>
    <t>منتجات الطاقة</t>
  </si>
  <si>
    <t>التدفقات</t>
  </si>
  <si>
    <t>الطاقة الشمسية (ميجاواط. ساعة)</t>
  </si>
  <si>
    <t>الحطب والفحم (طن)</t>
  </si>
  <si>
    <t>الجفت (طن)</t>
  </si>
  <si>
    <t>بتيومن (طن)</t>
  </si>
  <si>
    <t>الزيوت والشحوم (طن)</t>
  </si>
  <si>
    <t>غاز البترول المسيل (طن)</t>
  </si>
  <si>
    <t xml:space="preserve">    زيت الوقود        (ألف لتر)</t>
  </si>
  <si>
    <t>الكاز (ألف لتر)</t>
  </si>
  <si>
    <t>البنزين (ألف لتر)</t>
  </si>
  <si>
    <t>السولار (ألف لتر)</t>
  </si>
  <si>
    <t>الكهرباء
 (ميجاواط. ساعة)</t>
  </si>
  <si>
    <t>(طن)</t>
  </si>
  <si>
    <t>Solar Energy (MWh)</t>
  </si>
  <si>
    <t>Wood and Charcoal (Tons)</t>
  </si>
  <si>
    <t>Olive Cake</t>
  </si>
  <si>
    <t>Bitumen (Tons)</t>
  </si>
  <si>
    <t>Oils and Lubricants (Tons)</t>
  </si>
  <si>
    <t>LPG (Tons)</t>
  </si>
  <si>
    <t>Kerosene 
(1000 Liters)</t>
  </si>
  <si>
    <t>Gasoline 
 (1000 Liters)</t>
  </si>
  <si>
    <t>Diesel 
(1000 Liters)</t>
  </si>
  <si>
    <t>Electricity (MWh)</t>
  </si>
  <si>
    <t>(Tons)</t>
  </si>
  <si>
    <t>(1000 Liters)</t>
  </si>
  <si>
    <t>1.1 Primary production</t>
  </si>
  <si>
    <t>1.1 الإنتاج الابتدائي</t>
  </si>
  <si>
    <t>1.2 Imports</t>
  </si>
  <si>
    <t>2.1 الواردات</t>
  </si>
  <si>
    <t>1.3 Exports</t>
  </si>
  <si>
    <t>3.1 الصادرات</t>
  </si>
  <si>
    <t>1.4 Stock change</t>
  </si>
  <si>
    <t>4.1 التغير في المخزون</t>
  </si>
  <si>
    <t>1.Total energy supply</t>
  </si>
  <si>
    <t>1. الطاقة الكلية المزودة</t>
  </si>
  <si>
    <t>2. Statistical differences</t>
  </si>
  <si>
    <t>2. فروقات إحصائية</t>
  </si>
  <si>
    <t>3.Transformation</t>
  </si>
  <si>
    <t>3. التحويل</t>
  </si>
  <si>
    <t>3.1 Electricity plants</t>
  </si>
  <si>
    <t>1.3 محطات الكهرباء</t>
  </si>
  <si>
    <t>4. Losses</t>
  </si>
  <si>
    <t xml:space="preserve">4. الخسائر </t>
  </si>
  <si>
    <t>5. Final consumption</t>
  </si>
  <si>
    <t>5. الاستهلاك النهائي</t>
  </si>
  <si>
    <t>5.1. Final energy consumption</t>
  </si>
  <si>
    <t>1.5 استهلاك الطاقة النهائي</t>
  </si>
  <si>
    <t>5.1.1 By industry</t>
  </si>
  <si>
    <t xml:space="preserve">1.1.5 بواسطة الصناعة </t>
  </si>
  <si>
    <t>5.1.2 By transport</t>
  </si>
  <si>
    <t>2.1.5 بواسطة النقل</t>
  </si>
  <si>
    <t>5.1.2.1 Road</t>
  </si>
  <si>
    <t>1.2.1.5 الطرق</t>
  </si>
  <si>
    <t>5.1.3 By household and other sectors</t>
  </si>
  <si>
    <t>3.1.5 بواسطة القطاع المنزلي وقطاعات أخرى</t>
  </si>
  <si>
    <t>5.1.3.1 Households</t>
  </si>
  <si>
    <t>1.3.1.5 المنزلي</t>
  </si>
  <si>
    <t>5.1.3.2 Agriculture</t>
  </si>
  <si>
    <t>2.3.1.5 الزراعة</t>
  </si>
  <si>
    <t>5.1.3.3 Commerce &amp; public services</t>
  </si>
  <si>
    <t>3.3.1.5 التجارة والخدمات العامة</t>
  </si>
  <si>
    <t>5.2 Non energy use</t>
  </si>
  <si>
    <t>2.5  لاستعمالات غير الطاقة</t>
  </si>
  <si>
    <t>Notes:</t>
  </si>
  <si>
    <t>ملاحظات:</t>
  </si>
  <si>
    <t>1. In all accounts related to charcoal and wood, a unified calorific value was used for each of the charcoal and wood based on the weight of each type in the balance, and the  calorific value for both was considered to be 15.61 gigajoules/ton</t>
  </si>
  <si>
    <t>1. في جميع الحسابات المتعلقة بالفحم والحطب، تم اعتبار القيمة الحرارية موحدة لكل من الفحم والحطب بناء على وزن كل نوع في الميزان  وقد اعتبرت القيمة الحرارية لكليهما 15.61 جيجا جول/طن.</t>
  </si>
  <si>
    <t>2. The efficiency of the solar water heater was considered to be 45% and the consumed energy is half of the produces quantity.</t>
  </si>
  <si>
    <t xml:space="preserve">2. تم اعتبار كفاءة المرآة بالنسبة للسخان الشمسي 45%، والطاقة المستهلكة نصف الكمية المنتجة. </t>
  </si>
  <si>
    <t>3. The technical losses in electricity in the Palestinian Territory are considered to be 12% based on the Palestinian Energy Authority.</t>
  </si>
  <si>
    <t>3. تم اعتبار الفاقد الفني للطاقة الكهربائية في الأراضي الفلسطينية ما نسبته 12%  بحسب سلطة الطاقة الفلسطينية.</t>
  </si>
  <si>
    <t>جدول 12: ميزان الطاقة الفلسطيني بالتيراجول، 2015</t>
  </si>
  <si>
    <t>Table 12: Energy Balance of Palestine in Terajoul, 2015</t>
  </si>
  <si>
    <t>الطاقة الشمسية</t>
  </si>
  <si>
    <t>الحطب والفحم</t>
  </si>
  <si>
    <t xml:space="preserve">الجفت </t>
  </si>
  <si>
    <t xml:space="preserve">بتيومن </t>
  </si>
  <si>
    <t xml:space="preserve">الزيوت والشحوم </t>
  </si>
  <si>
    <t xml:space="preserve">غاز البترول المسيل </t>
  </si>
  <si>
    <t xml:space="preserve"> زيت الوقود     </t>
  </si>
  <si>
    <t>الكاز</t>
  </si>
  <si>
    <t>البنزين</t>
  </si>
  <si>
    <t xml:space="preserve">السولار </t>
  </si>
  <si>
    <t>الكهرباء</t>
  </si>
  <si>
    <t>Solar Energy</t>
  </si>
  <si>
    <t>Wood and Charcoal</t>
  </si>
  <si>
    <t xml:space="preserve">Bitumen </t>
  </si>
  <si>
    <t xml:space="preserve">Oils and Lubricants </t>
  </si>
  <si>
    <t xml:space="preserve">LPG </t>
  </si>
  <si>
    <t xml:space="preserve">Fuel Oil   </t>
  </si>
  <si>
    <t>Kerosene</t>
  </si>
  <si>
    <t>Gasoline</t>
  </si>
  <si>
    <t>Diesel</t>
  </si>
  <si>
    <t>Electricity</t>
  </si>
  <si>
    <t>2. تم اعتبار كفاءة المرآة بالنسبة للسخان الشمسي 45%، والطاقة المستهلكة نصف الكمية المنتجة.</t>
  </si>
  <si>
    <t>3. تم اعتبار الفاقد الفني للطاقة الكهربائية في الأراضي الفلسطينية ما نسبته 12% بحسب سلطة الطاقة الفلسطينية.</t>
  </si>
</sst>
</file>

<file path=xl/styles.xml><?xml version="1.0" encoding="utf-8"?>
<styleSheet xmlns="http://schemas.openxmlformats.org/spreadsheetml/2006/main">
  <numFmts count="9">
    <numFmt numFmtId="41" formatCode="_-* #,##0_-;_-* #,##0\-;_-* &quot;-&quot;_-;_-@_-"/>
    <numFmt numFmtId="164" formatCode="_-* #,##0.00_-;\-* #,##0.00_-;_-* &quot;-&quot;??_-;_-@_-"/>
    <numFmt numFmtId="165" formatCode="#,##0.0"/>
    <numFmt numFmtId="166" formatCode="_-* #,##0_-;\-* #,##0_-;_-* &quot;-&quot;??_-;_-@_-"/>
    <numFmt numFmtId="167" formatCode="0.00000"/>
    <numFmt numFmtId="168" formatCode="#,##0.000"/>
    <numFmt numFmtId="169" formatCode="_-* #,##0.000_-;_-* #,##0.000\-;_-* &quot;-&quot;_-;_-@_-"/>
    <numFmt numFmtId="170" formatCode="_-* #,##0.00_-;_-* #,##0.00\-;_-* &quot;-&quot;_-;_-@_-"/>
    <numFmt numFmtId="171" formatCode="_-* #,##0.0_-;_-* #,##0.0\-;_-* &quot;-&quot;_-;_-@_-"/>
  </numFmts>
  <fonts count="52">
    <font>
      <sz val="10"/>
      <name val="Arial"/>
      <charset val="178"/>
    </font>
    <font>
      <sz val="10"/>
      <name val="Arial"/>
      <family val="2"/>
    </font>
    <font>
      <sz val="10"/>
      <name val="Simplified Arabic"/>
      <family val="1"/>
    </font>
    <font>
      <b/>
      <sz val="12"/>
      <name val="Simplified Arabic"/>
      <family val="1"/>
    </font>
    <font>
      <b/>
      <sz val="12"/>
      <name val="Times New Roman"/>
      <family val="1"/>
      <charset val="178"/>
    </font>
    <font>
      <b/>
      <sz val="10"/>
      <name val="Simplified Arabic"/>
      <family val="1"/>
    </font>
    <font>
      <b/>
      <sz val="10"/>
      <name val="Arial"/>
      <family val="2"/>
    </font>
    <font>
      <sz val="10"/>
      <name val="Arial"/>
      <family val="2"/>
      <charset val="178"/>
    </font>
    <font>
      <b/>
      <sz val="10"/>
      <name val="Arial"/>
      <family val="2"/>
      <charset val="178"/>
    </font>
    <font>
      <u/>
      <sz val="10"/>
      <color indexed="12"/>
      <name val="Arial"/>
      <family val="2"/>
    </font>
    <font>
      <sz val="10"/>
      <name val="Arial"/>
      <family val="2"/>
    </font>
    <font>
      <sz val="10"/>
      <name val="Times New Roman (Arabic)"/>
      <family val="1"/>
      <charset val="178"/>
    </font>
    <font>
      <sz val="9"/>
      <name val="Simplified Arabic"/>
      <family val="1"/>
    </font>
    <font>
      <sz val="9"/>
      <name val="Times New Roman"/>
      <family val="1"/>
      <charset val="178"/>
    </font>
    <font>
      <sz val="9"/>
      <name val="Arial"/>
      <family val="2"/>
    </font>
    <font>
      <b/>
      <sz val="10"/>
      <name val="Times New Roman"/>
      <family val="1"/>
      <charset val="178"/>
    </font>
    <font>
      <sz val="10"/>
      <name val="Times New Roman"/>
      <family val="1"/>
    </font>
    <font>
      <sz val="10"/>
      <name val="Times New Roman"/>
      <family val="1"/>
      <charset val="178"/>
    </font>
    <font>
      <b/>
      <sz val="9"/>
      <name val="Simplified Arabic"/>
      <family val="1"/>
    </font>
    <font>
      <sz val="10"/>
      <name val="Arial"/>
      <family val="2"/>
      <charset val="178"/>
    </font>
    <font>
      <b/>
      <sz val="9"/>
      <name val="Times New Roman"/>
      <family val="1"/>
      <charset val="178"/>
    </font>
    <font>
      <sz val="10"/>
      <name val="Arial"/>
      <family val="2"/>
    </font>
    <font>
      <sz val="9"/>
      <name val="Arial"/>
      <family val="2"/>
      <charset val="178"/>
    </font>
    <font>
      <b/>
      <sz val="11"/>
      <name val="Simplified Arabic"/>
      <family val="1"/>
    </font>
    <font>
      <b/>
      <sz val="11"/>
      <name val="Times New Roman"/>
      <family val="1"/>
      <charset val="178"/>
    </font>
    <font>
      <b/>
      <sz val="11"/>
      <name val="Arial"/>
      <family val="2"/>
      <charset val="178"/>
    </font>
    <font>
      <b/>
      <sz val="9"/>
      <name val="Arial"/>
      <family val="2"/>
      <charset val="178"/>
    </font>
    <font>
      <b/>
      <sz val="9"/>
      <name val="Arial"/>
      <family val="2"/>
    </font>
    <font>
      <sz val="9"/>
      <color indexed="8"/>
      <name val="Arial"/>
      <family val="2"/>
    </font>
    <font>
      <b/>
      <sz val="9"/>
      <color indexed="8"/>
      <name val="Arial"/>
      <family val="2"/>
    </font>
    <font>
      <b/>
      <sz val="10"/>
      <name val="Simplified Arabic"/>
      <family val="1"/>
    </font>
    <font>
      <sz val="9"/>
      <name val="Arial"/>
      <family val="2"/>
      <scheme val="minor"/>
    </font>
    <font>
      <b/>
      <sz val="9"/>
      <name val="Arial"/>
      <family val="2"/>
      <scheme val="minor"/>
    </font>
    <font>
      <b/>
      <sz val="9"/>
      <color indexed="8"/>
      <name val="Arial"/>
      <family val="2"/>
      <scheme val="minor"/>
    </font>
    <font>
      <vertAlign val="superscript"/>
      <sz val="9"/>
      <name val="Simplified Arabic"/>
      <family val="1"/>
    </font>
    <font>
      <vertAlign val="superscript"/>
      <sz val="9"/>
      <name val="Arial"/>
      <family val="2"/>
    </font>
    <font>
      <sz val="9"/>
      <color rgb="FF000000"/>
      <name val="Arial"/>
      <family val="2"/>
    </font>
    <font>
      <b/>
      <vertAlign val="superscript"/>
      <sz val="9"/>
      <name val="Simplified Arabic"/>
      <family val="1"/>
    </font>
    <font>
      <b/>
      <vertAlign val="superscript"/>
      <sz val="9"/>
      <name val="Arial"/>
      <family val="2"/>
    </font>
    <font>
      <b/>
      <vertAlign val="superscript"/>
      <sz val="11"/>
      <name val="Simplified Arabic"/>
      <family val="1"/>
    </font>
    <font>
      <b/>
      <vertAlign val="subscript"/>
      <sz val="11"/>
      <name val="Simplified Arabic"/>
      <family val="1"/>
    </font>
    <font>
      <b/>
      <vertAlign val="superscript"/>
      <sz val="11"/>
      <name val="Arial"/>
      <family val="2"/>
    </font>
    <font>
      <vertAlign val="superscript"/>
      <sz val="11"/>
      <name val="Simplified Arabic"/>
      <family val="1"/>
    </font>
    <font>
      <vertAlign val="superscript"/>
      <sz val="11"/>
      <name val="Arial"/>
      <family val="2"/>
    </font>
    <font>
      <sz val="11"/>
      <name val="Simplified Arabic"/>
      <family val="1"/>
    </font>
    <font>
      <sz val="11"/>
      <name val="Arial"/>
      <family val="2"/>
    </font>
    <font>
      <b/>
      <sz val="11"/>
      <name val="Arial"/>
      <family val="2"/>
    </font>
    <font>
      <sz val="9"/>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applyNumberFormat="0">
      <alignment horizontal="left"/>
    </xf>
    <xf numFmtId="0" fontId="10" fillId="0" borderId="0"/>
    <xf numFmtId="9" fontId="1" fillId="0" borderId="0" applyFont="0" applyFill="0" applyBorder="0" applyAlignment="0" applyProtection="0"/>
  </cellStyleXfs>
  <cellXfs count="439">
    <xf numFmtId="0" fontId="0" fillId="0" borderId="0" xfId="0"/>
    <xf numFmtId="0" fontId="0" fillId="0" borderId="0" xfId="0" applyAlignment="1">
      <alignment vertical="center"/>
    </xf>
    <xf numFmtId="1" fontId="0" fillId="0" borderId="0" xfId="0" applyNumberFormat="1" applyFill="1" applyBorder="1"/>
    <xf numFmtId="0" fontId="10" fillId="0" borderId="0" xfId="0" applyFont="1"/>
    <xf numFmtId="0" fontId="2" fillId="0" borderId="0" xfId="0" applyFont="1"/>
    <xf numFmtId="0" fontId="6" fillId="0" borderId="0" xfId="0" applyFont="1"/>
    <xf numFmtId="0" fontId="8" fillId="0" borderId="0" xfId="0" applyFont="1" applyFill="1" applyBorder="1"/>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Continuous" vertical="center" wrapText="1"/>
    </xf>
    <xf numFmtId="1" fontId="17"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centerContinuous" vertical="center" wrapText="1"/>
    </xf>
    <xf numFmtId="0" fontId="18" fillId="0" borderId="0" xfId="0" applyFont="1" applyFill="1" applyBorder="1" applyAlignment="1">
      <alignment horizontal="right" vertical="center" wrapText="1"/>
    </xf>
    <xf numFmtId="2" fontId="19" fillId="0" borderId="0" xfId="0" applyNumberFormat="1" applyFont="1" applyFill="1" applyBorder="1" applyAlignment="1">
      <alignment horizontal="right" vertical="center" wrapText="1"/>
    </xf>
    <xf numFmtId="0" fontId="20" fillId="0" borderId="0" xfId="0" applyFont="1" applyFill="1" applyBorder="1" applyAlignment="1">
      <alignment horizontal="left" vertical="center" wrapText="1"/>
    </xf>
    <xf numFmtId="0" fontId="2" fillId="0" borderId="0" xfId="0" applyFont="1" applyFill="1" applyBorder="1" applyAlignment="1">
      <alignment vertical="center"/>
    </xf>
    <xf numFmtId="2" fontId="7" fillId="0" borderId="0" xfId="0" applyNumberFormat="1" applyFont="1" applyFill="1" applyBorder="1" applyAlignment="1">
      <alignment horizontal="right"/>
    </xf>
    <xf numFmtId="0" fontId="11"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vertical="center" wrapText="1"/>
    </xf>
    <xf numFmtId="0" fontId="0" fillId="0" borderId="0" xfId="0" applyFill="1" applyAlignment="1">
      <alignment vertical="center" wrapText="1"/>
    </xf>
    <xf numFmtId="2" fontId="8" fillId="0" borderId="0" xfId="0" applyNumberFormat="1" applyFont="1" applyFill="1" applyBorder="1" applyAlignment="1">
      <alignment horizontal="right"/>
    </xf>
    <xf numFmtId="0" fontId="0" fillId="0" borderId="0" xfId="0" applyFill="1" applyBorder="1"/>
    <xf numFmtId="0" fontId="21" fillId="0" borderId="0" xfId="0" applyFont="1" applyFill="1" applyAlignment="1">
      <alignment vertical="center" wrapText="1"/>
    </xf>
    <xf numFmtId="0" fontId="6" fillId="0" borderId="0" xfId="0" applyFont="1" applyAlignment="1">
      <alignment vertical="center"/>
    </xf>
    <xf numFmtId="3" fontId="10" fillId="0" borderId="0" xfId="0" applyNumberFormat="1" applyFont="1"/>
    <xf numFmtId="165" fontId="10" fillId="0" borderId="0" xfId="0" applyNumberFormat="1" applyFont="1"/>
    <xf numFmtId="0" fontId="13" fillId="0" borderId="0" xfId="0" applyFont="1" applyFill="1" applyBorder="1" applyAlignment="1">
      <alignment horizontal="left" vertical="center"/>
    </xf>
    <xf numFmtId="0" fontId="18" fillId="0" borderId="1" xfId="0" applyFont="1" applyBorder="1" applyAlignment="1">
      <alignment horizontal="right" vertical="center"/>
    </xf>
    <xf numFmtId="0" fontId="12"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3" fillId="0" borderId="3" xfId="0" applyFont="1" applyBorder="1" applyAlignment="1">
      <alignment vertical="center"/>
    </xf>
    <xf numFmtId="0" fontId="1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0" xfId="0" applyFont="1" applyFill="1" applyAlignment="1">
      <alignment vertical="center"/>
    </xf>
    <xf numFmtId="0" fontId="18" fillId="0" borderId="3" xfId="0" applyFont="1" applyFill="1" applyBorder="1" applyAlignment="1">
      <alignment horizontal="right" vertical="center"/>
    </xf>
    <xf numFmtId="0" fontId="20" fillId="0"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165" fontId="0" fillId="0" borderId="0" xfId="0" applyNumberFormat="1" applyFill="1" applyBorder="1" applyAlignment="1">
      <alignment horizontal="right" vertical="center" indent="1"/>
    </xf>
    <xf numFmtId="0" fontId="1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2" xfId="0" applyFont="1" applyBorder="1" applyAlignment="1">
      <alignment horizontal="left" vertical="center"/>
    </xf>
    <xf numFmtId="0" fontId="26" fillId="0" borderId="5" xfId="0" applyFont="1" applyBorder="1" applyAlignment="1">
      <alignment horizontal="left" vertical="center"/>
    </xf>
    <xf numFmtId="0" fontId="12" fillId="0" borderId="4" xfId="0" applyFont="1" applyBorder="1" applyAlignment="1">
      <alignment horizontal="right" vertical="center"/>
    </xf>
    <xf numFmtId="0" fontId="12" fillId="0" borderId="2" xfId="0" applyFont="1" applyBorder="1" applyAlignment="1">
      <alignment horizontal="right" vertical="center"/>
    </xf>
    <xf numFmtId="0" fontId="18" fillId="0" borderId="5" xfId="0" applyFont="1" applyBorder="1" applyAlignment="1">
      <alignment horizontal="right" vertical="center"/>
    </xf>
    <xf numFmtId="0" fontId="22" fillId="0" borderId="7" xfId="0" applyFont="1" applyFill="1" applyBorder="1" applyAlignment="1">
      <alignment horizontal="center" vertical="center" wrapText="1"/>
    </xf>
    <xf numFmtId="0" fontId="18" fillId="0" borderId="4" xfId="0" applyFont="1" applyFill="1" applyBorder="1" applyAlignment="1">
      <alignment horizontal="right" vertical="center"/>
    </xf>
    <xf numFmtId="0" fontId="12" fillId="0" borderId="2" xfId="0" applyFont="1" applyFill="1" applyBorder="1" applyAlignment="1">
      <alignment vertical="center" wrapText="1"/>
    </xf>
    <xf numFmtId="9" fontId="0" fillId="0" borderId="0" xfId="5" applyFont="1" applyFill="1" applyBorder="1"/>
    <xf numFmtId="0" fontId="10" fillId="0" borderId="0" xfId="0" applyFont="1" applyAlignment="1">
      <alignment vertical="center"/>
    </xf>
    <xf numFmtId="0" fontId="22" fillId="0" borderId="4" xfId="0" applyFont="1" applyBorder="1" applyAlignment="1">
      <alignment horizontal="center" vertical="center" wrapText="1"/>
    </xf>
    <xf numFmtId="3" fontId="28" fillId="0" borderId="0" xfId="0" applyNumberFormat="1" applyFont="1" applyBorder="1" applyAlignment="1">
      <alignment horizontal="right" vertical="center" indent="1"/>
    </xf>
    <xf numFmtId="3" fontId="29" fillId="0" borderId="0" xfId="0" applyNumberFormat="1" applyFont="1" applyBorder="1" applyAlignment="1">
      <alignment horizontal="right" vertical="center" indent="1"/>
    </xf>
    <xf numFmtId="3" fontId="10" fillId="0" borderId="0" xfId="0" applyNumberFormat="1" applyFont="1" applyAlignment="1">
      <alignment vertical="center"/>
    </xf>
    <xf numFmtId="165" fontId="10" fillId="0" borderId="0" xfId="0" applyNumberFormat="1" applyFont="1" applyAlignment="1">
      <alignment vertical="center"/>
    </xf>
    <xf numFmtId="165" fontId="6" fillId="0" borderId="0" xfId="0" applyNumberFormat="1" applyFont="1" applyAlignment="1">
      <alignment vertical="center"/>
    </xf>
    <xf numFmtId="0" fontId="8" fillId="0" borderId="0" xfId="0" applyFont="1" applyFill="1" applyBorder="1" applyAlignment="1">
      <alignment vertical="center"/>
    </xf>
    <xf numFmtId="3" fontId="0" fillId="0" borderId="0" xfId="0" applyNumberFormat="1" applyAlignment="1">
      <alignment vertical="center"/>
    </xf>
    <xf numFmtId="0" fontId="31" fillId="0" borderId="5" xfId="0" applyFont="1" applyBorder="1" applyAlignment="1">
      <alignment horizontal="center" vertical="center" wrapText="1"/>
    </xf>
    <xf numFmtId="0" fontId="31" fillId="0" borderId="2" xfId="0" applyFont="1" applyBorder="1" applyAlignment="1">
      <alignment horizontal="left" vertical="center"/>
    </xf>
    <xf numFmtId="0" fontId="32" fillId="0" borderId="5" xfId="0" applyFont="1" applyBorder="1" applyAlignment="1">
      <alignment horizontal="left" vertical="center"/>
    </xf>
    <xf numFmtId="0" fontId="10" fillId="0" borderId="0" xfId="0" applyFont="1" applyAlignment="1">
      <alignment vertical="center" shrinkToFit="1"/>
    </xf>
    <xf numFmtId="0" fontId="32" fillId="0" borderId="3" xfId="0" applyFont="1" applyBorder="1" applyAlignment="1">
      <alignment horizontal="left" vertical="center"/>
    </xf>
    <xf numFmtId="0" fontId="18" fillId="0" borderId="0" xfId="0" applyFont="1" applyBorder="1" applyAlignment="1">
      <alignment horizontal="right" vertical="center"/>
    </xf>
    <xf numFmtId="0" fontId="14" fillId="0" borderId="0" xfId="0" applyFont="1" applyBorder="1" applyAlignment="1">
      <alignment horizontal="left" vertical="center"/>
    </xf>
    <xf numFmtId="0" fontId="18" fillId="0" borderId="5" xfId="0" applyFont="1" applyFill="1" applyBorder="1" applyAlignment="1">
      <alignment horizontal="right" vertical="center" wrapText="1"/>
    </xf>
    <xf numFmtId="0" fontId="22" fillId="0" borderId="2" xfId="0" applyFont="1" applyFill="1" applyBorder="1" applyAlignment="1">
      <alignment horizontal="left" vertical="justify" wrapText="1" readingOrder="1"/>
    </xf>
    <xf numFmtId="0" fontId="18" fillId="0" borderId="1" xfId="0" applyFont="1" applyFill="1" applyBorder="1" applyAlignment="1">
      <alignment horizontal="right" vertical="center"/>
    </xf>
    <xf numFmtId="0" fontId="26" fillId="0" borderId="4" xfId="0" applyFont="1" applyBorder="1" applyAlignment="1">
      <alignment horizontal="left" vertical="center"/>
    </xf>
    <xf numFmtId="0" fontId="14" fillId="0" borderId="3" xfId="0" applyFont="1" applyBorder="1" applyAlignment="1">
      <alignment horizontal="right" vertical="center"/>
    </xf>
    <xf numFmtId="0" fontId="27" fillId="0" borderId="3" xfId="0" applyFont="1" applyBorder="1" applyAlignment="1">
      <alignment horizontal="left" vertical="center"/>
    </xf>
    <xf numFmtId="2" fontId="22" fillId="0" borderId="0" xfId="0" applyNumberFormat="1" applyFont="1" applyFill="1" applyBorder="1" applyAlignment="1">
      <alignment horizontal="left" vertical="center" wrapText="1" indent="1"/>
    </xf>
    <xf numFmtId="2" fontId="26" fillId="0" borderId="13" xfId="0" applyNumberFormat="1" applyFont="1" applyFill="1" applyBorder="1" applyAlignment="1">
      <alignment horizontal="left" vertical="center" wrapText="1" indent="1"/>
    </xf>
    <xf numFmtId="3" fontId="30" fillId="0" borderId="0" xfId="0" applyNumberFormat="1" applyFont="1" applyAlignment="1">
      <alignment horizontal="right"/>
    </xf>
    <xf numFmtId="3" fontId="6" fillId="0" borderId="0" xfId="0" applyNumberFormat="1" applyFont="1"/>
    <xf numFmtId="3" fontId="14" fillId="0" borderId="0" xfId="0" applyNumberFormat="1" applyFont="1" applyAlignment="1">
      <alignment vertical="center"/>
    </xf>
    <xf numFmtId="3" fontId="14" fillId="0" borderId="0" xfId="0" applyNumberFormat="1" applyFont="1"/>
    <xf numFmtId="0" fontId="12" fillId="0" borderId="2" xfId="0" applyFont="1" applyFill="1" applyBorder="1" applyAlignment="1">
      <alignment horizontal="right" vertical="center"/>
    </xf>
    <xf numFmtId="0" fontId="12" fillId="0" borderId="5" xfId="0" applyFont="1" applyFill="1" applyBorder="1" applyAlignment="1">
      <alignment horizontal="right" vertical="center"/>
    </xf>
    <xf numFmtId="0" fontId="22" fillId="0" borderId="5" xfId="0" applyFont="1" applyBorder="1" applyAlignment="1">
      <alignment horizontal="left" vertical="center"/>
    </xf>
    <xf numFmtId="166" fontId="28" fillId="0" borderId="0" xfId="1" applyNumberFormat="1" applyFont="1" applyBorder="1" applyAlignment="1">
      <alignment horizontal="right" vertical="center" indent="1"/>
    </xf>
    <xf numFmtId="166" fontId="29" fillId="0" borderId="0" xfId="1" applyNumberFormat="1" applyFont="1" applyBorder="1" applyAlignment="1">
      <alignment horizontal="right" vertical="center" indent="1"/>
    </xf>
    <xf numFmtId="166" fontId="29" fillId="0" borderId="13" xfId="1" applyNumberFormat="1" applyFont="1" applyBorder="1" applyAlignment="1">
      <alignment horizontal="right" vertical="center" indent="1"/>
    </xf>
    <xf numFmtId="0" fontId="10" fillId="0" borderId="0" xfId="4"/>
    <xf numFmtId="0" fontId="18" fillId="0" borderId="1" xfId="4" applyFont="1" applyBorder="1" applyAlignment="1">
      <alignment horizontal="right" vertical="center" wrapText="1" readingOrder="2"/>
    </xf>
    <xf numFmtId="0" fontId="12" fillId="0" borderId="3" xfId="4" applyFont="1" applyBorder="1" applyAlignment="1">
      <alignment horizontal="center" vertical="center" wrapText="1" readingOrder="2"/>
    </xf>
    <xf numFmtId="0" fontId="13" fillId="0" borderId="3" xfId="4" applyFont="1" applyBorder="1" applyAlignment="1">
      <alignment vertical="center"/>
    </xf>
    <xf numFmtId="0" fontId="10" fillId="0" borderId="3" xfId="4" applyBorder="1"/>
    <xf numFmtId="0" fontId="14" fillId="0" borderId="5" xfId="4" applyFont="1" applyBorder="1" applyAlignment="1">
      <alignment horizontal="center" vertical="center" wrapText="1" readingOrder="1"/>
    </xf>
    <xf numFmtId="0" fontId="12" fillId="0" borderId="4" xfId="4" applyFont="1" applyBorder="1" applyAlignment="1">
      <alignment horizontal="right" vertical="center" wrapText="1" readingOrder="2"/>
    </xf>
    <xf numFmtId="3" fontId="14" fillId="0" borderId="8" xfId="4" applyNumberFormat="1" applyFont="1" applyBorder="1" applyAlignment="1">
      <alignment horizontal="right"/>
    </xf>
    <xf numFmtId="3" fontId="14" fillId="0" borderId="9" xfId="4" applyNumberFormat="1" applyFont="1" applyBorder="1" applyAlignment="1">
      <alignment horizontal="right"/>
    </xf>
    <xf numFmtId="0" fontId="14" fillId="0" borderId="4" xfId="4" applyFont="1" applyBorder="1" applyAlignment="1">
      <alignment horizontal="left" wrapText="1" readingOrder="1"/>
    </xf>
    <xf numFmtId="0" fontId="6" fillId="0" borderId="0" xfId="4" applyFont="1"/>
    <xf numFmtId="0" fontId="12" fillId="0" borderId="2" xfId="4" applyFont="1" applyBorder="1" applyAlignment="1">
      <alignment horizontal="right" vertical="center" wrapText="1" readingOrder="2"/>
    </xf>
    <xf numFmtId="3" fontId="14" fillId="0" borderId="0" xfId="4" applyNumberFormat="1" applyFont="1" applyBorder="1" applyAlignment="1">
      <alignment horizontal="right"/>
    </xf>
    <xf numFmtId="3" fontId="14" fillId="0" borderId="11" xfId="4" applyNumberFormat="1" applyFont="1" applyBorder="1" applyAlignment="1">
      <alignment horizontal="right"/>
    </xf>
    <xf numFmtId="0" fontId="14" fillId="0" borderId="2" xfId="4" applyFont="1" applyBorder="1" applyAlignment="1">
      <alignment horizontal="left" wrapText="1" readingOrder="1"/>
    </xf>
    <xf numFmtId="0" fontId="18" fillId="0" borderId="5" xfId="4" applyFont="1" applyBorder="1" applyAlignment="1">
      <alignment horizontal="right" vertical="center" wrapText="1" readingOrder="2"/>
    </xf>
    <xf numFmtId="3" fontId="27" fillId="0" borderId="13" xfId="4" applyNumberFormat="1" applyFont="1" applyBorder="1" applyAlignment="1">
      <alignment horizontal="right"/>
    </xf>
    <xf numFmtId="165" fontId="10" fillId="0" borderId="0" xfId="4" applyNumberFormat="1" applyFill="1" applyBorder="1" applyAlignment="1">
      <alignment horizontal="right" vertical="center" indent="1"/>
    </xf>
    <xf numFmtId="3" fontId="14" fillId="0" borderId="8" xfId="4" applyNumberFormat="1" applyFont="1" applyBorder="1" applyAlignment="1">
      <alignment horizontal="left" wrapText="1" readingOrder="1"/>
    </xf>
    <xf numFmtId="3" fontId="14" fillId="0" borderId="0" xfId="4" applyNumberFormat="1" applyFont="1" applyBorder="1" applyAlignment="1">
      <alignment horizontal="left" wrapText="1" readingOrder="1"/>
    </xf>
    <xf numFmtId="0" fontId="4" fillId="0" borderId="0" xfId="4" applyFont="1" applyFill="1" applyAlignment="1">
      <alignment vertical="center"/>
    </xf>
    <xf numFmtId="0" fontId="10" fillId="0" borderId="0" xfId="4" applyFill="1" applyAlignment="1">
      <alignment vertical="center"/>
    </xf>
    <xf numFmtId="0" fontId="12" fillId="0" borderId="0" xfId="4" applyFont="1" applyFill="1" applyBorder="1" applyAlignment="1">
      <alignment horizontal="right" vertical="center"/>
    </xf>
    <xf numFmtId="0" fontId="14" fillId="0" borderId="0" xfId="4" applyFont="1" applyFill="1" applyAlignment="1">
      <alignment vertical="center"/>
    </xf>
    <xf numFmtId="0" fontId="13" fillId="0" borderId="0" xfId="4" applyFont="1" applyFill="1" applyBorder="1" applyAlignment="1">
      <alignment horizontal="left" vertical="center"/>
    </xf>
    <xf numFmtId="0" fontId="22" fillId="0" borderId="0" xfId="4" applyFont="1" applyFill="1" applyBorder="1" applyAlignment="1">
      <alignment horizontal="left" vertical="center"/>
    </xf>
    <xf numFmtId="0" fontId="18" fillId="0" borderId="1" xfId="4" applyFont="1" applyFill="1" applyBorder="1" applyAlignment="1">
      <alignment horizontal="right" vertical="center"/>
    </xf>
    <xf numFmtId="0" fontId="18" fillId="0" borderId="3" xfId="4" applyFont="1" applyFill="1" applyBorder="1" applyAlignment="1">
      <alignment horizontal="right" vertical="center"/>
    </xf>
    <xf numFmtId="0" fontId="20" fillId="0" borderId="3" xfId="4" applyFont="1" applyFill="1" applyBorder="1" applyAlignment="1">
      <alignment horizontal="left" vertical="center"/>
    </xf>
    <xf numFmtId="0" fontId="6" fillId="0" borderId="0" xfId="4" applyFont="1" applyFill="1" applyAlignment="1">
      <alignment vertical="center" wrapText="1"/>
    </xf>
    <xf numFmtId="0" fontId="12" fillId="0" borderId="2" xfId="4" applyFont="1" applyFill="1" applyBorder="1" applyAlignment="1">
      <alignment horizontal="center" vertical="center" wrapText="1"/>
    </xf>
    <xf numFmtId="0" fontId="12" fillId="0" borderId="6" xfId="4" applyFont="1" applyFill="1" applyBorder="1" applyAlignment="1">
      <alignment horizontal="center" vertical="center" wrapText="1"/>
    </xf>
    <xf numFmtId="0" fontId="10" fillId="0" borderId="0" xfId="4" applyFill="1" applyAlignment="1">
      <alignment vertical="center" wrapText="1"/>
    </xf>
    <xf numFmtId="0" fontId="22" fillId="0" borderId="5" xfId="4" applyFont="1" applyFill="1" applyBorder="1" applyAlignment="1">
      <alignment horizontal="center" vertical="center" wrapText="1"/>
    </xf>
    <xf numFmtId="0" fontId="22" fillId="0" borderId="7" xfId="4" applyFont="1" applyFill="1" applyBorder="1" applyAlignment="1">
      <alignment horizontal="center" vertical="center" wrapText="1"/>
    </xf>
    <xf numFmtId="0" fontId="12" fillId="0" borderId="2" xfId="4" applyFont="1" applyFill="1" applyBorder="1" applyAlignment="1">
      <alignment vertical="center" wrapText="1"/>
    </xf>
    <xf numFmtId="2" fontId="22" fillId="0" borderId="0" xfId="4" applyNumberFormat="1" applyFont="1" applyFill="1" applyBorder="1" applyAlignment="1">
      <alignment horizontal="left" vertical="center" wrapText="1" indent="1"/>
    </xf>
    <xf numFmtId="0" fontId="22" fillId="0" borderId="2" xfId="4" applyFont="1" applyFill="1" applyBorder="1" applyAlignment="1">
      <alignment horizontal="left" vertical="justify" wrapText="1" readingOrder="1"/>
    </xf>
    <xf numFmtId="0" fontId="10" fillId="0" borderId="0" xfId="4" applyFont="1" applyFill="1" applyAlignment="1">
      <alignment vertical="center" wrapText="1"/>
    </xf>
    <xf numFmtId="0" fontId="18" fillId="0" borderId="5" xfId="4" applyFont="1" applyFill="1" applyBorder="1" applyAlignment="1">
      <alignment horizontal="right" vertical="center" wrapText="1"/>
    </xf>
    <xf numFmtId="2" fontId="26" fillId="0" borderId="13" xfId="4" applyNumberFormat="1" applyFont="1" applyFill="1" applyBorder="1" applyAlignment="1">
      <alignment horizontal="left" vertical="center" wrapText="1" indent="1"/>
    </xf>
    <xf numFmtId="0" fontId="3" fillId="0" borderId="0" xfId="4" applyFont="1" applyFill="1" applyBorder="1" applyAlignment="1">
      <alignment horizontal="center" vertical="center"/>
    </xf>
    <xf numFmtId="0" fontId="10" fillId="0" borderId="0" xfId="4" applyFill="1" applyBorder="1" applyAlignment="1">
      <alignment vertical="center"/>
    </xf>
    <xf numFmtId="0" fontId="15" fillId="0" borderId="0" xfId="4" applyFont="1" applyFill="1" applyBorder="1" applyAlignment="1">
      <alignment horizontal="center" vertical="center"/>
    </xf>
    <xf numFmtId="1" fontId="2" fillId="0" borderId="0" xfId="4" applyNumberFormat="1" applyFont="1" applyFill="1" applyBorder="1" applyAlignment="1">
      <alignment horizontal="center" vertical="center" wrapText="1"/>
    </xf>
    <xf numFmtId="1" fontId="2" fillId="0" borderId="0" xfId="4" applyNumberFormat="1" applyFont="1" applyFill="1" applyBorder="1" applyAlignment="1">
      <alignment horizontal="centerContinuous" vertical="center" wrapText="1"/>
    </xf>
    <xf numFmtId="1" fontId="17" fillId="0" borderId="0" xfId="4" applyNumberFormat="1" applyFont="1" applyFill="1" applyBorder="1" applyAlignment="1">
      <alignment horizontal="center" vertical="center" wrapText="1"/>
    </xf>
    <xf numFmtId="1" fontId="17" fillId="0" borderId="0" xfId="4" applyNumberFormat="1" applyFont="1" applyFill="1" applyBorder="1" applyAlignment="1">
      <alignment horizontal="centerContinuous" vertical="center" wrapText="1"/>
    </xf>
    <xf numFmtId="0" fontId="18" fillId="0" borderId="0" xfId="4" applyFont="1" applyFill="1" applyBorder="1" applyAlignment="1">
      <alignment horizontal="right" vertical="center" wrapText="1"/>
    </xf>
    <xf numFmtId="2" fontId="7" fillId="0" borderId="0" xfId="4" applyNumberFormat="1" applyFont="1" applyFill="1" applyBorder="1" applyAlignment="1">
      <alignment horizontal="right" vertical="center" wrapText="1"/>
    </xf>
    <xf numFmtId="0" fontId="20" fillId="0" borderId="0" xfId="4" applyFont="1" applyFill="1" applyBorder="1" applyAlignment="1">
      <alignment horizontal="left" vertical="center" wrapText="1"/>
    </xf>
    <xf numFmtId="0" fontId="2" fillId="0" borderId="0" xfId="4" applyFont="1" applyFill="1" applyBorder="1" applyAlignment="1">
      <alignment vertical="center"/>
    </xf>
    <xf numFmtId="2" fontId="7" fillId="0" borderId="0" xfId="4" applyNumberFormat="1" applyFont="1" applyFill="1" applyBorder="1" applyAlignment="1">
      <alignment horizontal="right"/>
    </xf>
    <xf numFmtId="0" fontId="11" fillId="0" borderId="0" xfId="4" applyFont="1" applyFill="1" applyBorder="1" applyAlignment="1">
      <alignment vertical="center"/>
    </xf>
    <xf numFmtId="2" fontId="8" fillId="0" borderId="0" xfId="4" applyNumberFormat="1" applyFont="1" applyFill="1" applyBorder="1" applyAlignment="1">
      <alignment horizontal="right"/>
    </xf>
    <xf numFmtId="2" fontId="21" fillId="0" borderId="0" xfId="0" applyNumberFormat="1" applyFont="1" applyFill="1" applyAlignment="1">
      <alignment vertical="center" wrapText="1"/>
    </xf>
    <xf numFmtId="2" fontId="10" fillId="0" borderId="0" xfId="4" applyNumberFormat="1" applyFont="1" applyFill="1" applyAlignment="1">
      <alignment vertical="center" wrapText="1"/>
    </xf>
    <xf numFmtId="3" fontId="0" fillId="0" borderId="0" xfId="0" applyNumberFormat="1"/>
    <xf numFmtId="3" fontId="22" fillId="0" borderId="0" xfId="2" applyNumberFormat="1" applyFont="1" applyAlignment="1" applyProtection="1"/>
    <xf numFmtId="0" fontId="27" fillId="0" borderId="5" xfId="4" applyFont="1" applyBorder="1" applyAlignment="1">
      <alignment horizontal="left" wrapText="1" readingOrder="1"/>
    </xf>
    <xf numFmtId="0" fontId="0" fillId="0" borderId="0" xfId="0" applyBorder="1" applyAlignment="1">
      <alignment vertical="center"/>
    </xf>
    <xf numFmtId="0" fontId="0" fillId="0" borderId="0" xfId="0" applyBorder="1"/>
    <xf numFmtId="3" fontId="0" fillId="0" borderId="0" xfId="0" applyNumberFormat="1" applyBorder="1"/>
    <xf numFmtId="0" fontId="10" fillId="0" borderId="0" xfId="4" applyBorder="1"/>
    <xf numFmtId="0" fontId="26" fillId="0" borderId="3" xfId="0" applyFont="1" applyFill="1" applyBorder="1" applyAlignment="1">
      <alignment horizontal="left" vertical="center"/>
    </xf>
    <xf numFmtId="0" fontId="26" fillId="0" borderId="3" xfId="4" applyFont="1" applyFill="1" applyBorder="1" applyAlignment="1">
      <alignment horizontal="left" vertical="center"/>
    </xf>
    <xf numFmtId="167" fontId="10" fillId="0" borderId="0" xfId="0" applyNumberFormat="1" applyFont="1" applyAlignment="1">
      <alignment vertical="center"/>
    </xf>
    <xf numFmtId="167" fontId="6" fillId="0" borderId="0" xfId="0" applyNumberFormat="1" applyFont="1" applyAlignment="1">
      <alignment vertical="center"/>
    </xf>
    <xf numFmtId="168" fontId="10" fillId="0" borderId="0" xfId="0" applyNumberFormat="1" applyFont="1" applyAlignment="1">
      <alignment vertical="center"/>
    </xf>
    <xf numFmtId="0" fontId="1" fillId="0" borderId="0" xfId="0" applyFont="1" applyAlignment="1">
      <alignment vertical="center"/>
    </xf>
    <xf numFmtId="0" fontId="12" fillId="0" borderId="0" xfId="0" applyFont="1" applyBorder="1" applyAlignment="1">
      <alignment horizontal="right" vertical="center" wrapText="1" readingOrder="2"/>
    </xf>
    <xf numFmtId="0" fontId="26" fillId="0" borderId="5" xfId="4" applyFont="1" applyFill="1" applyBorder="1" applyAlignment="1">
      <alignment horizontal="left" vertical="center" wrapText="1"/>
    </xf>
    <xf numFmtId="0" fontId="26" fillId="0" borderId="5" xfId="0" applyFont="1" applyFill="1" applyBorder="1" applyAlignment="1">
      <alignment horizontal="left" vertical="center" wrapText="1"/>
    </xf>
    <xf numFmtId="3" fontId="27" fillId="0" borderId="13" xfId="0" applyNumberFormat="1" applyFont="1" applyBorder="1" applyAlignment="1">
      <alignment vertical="center"/>
    </xf>
    <xf numFmtId="166" fontId="0" fillId="0" borderId="0" xfId="0" applyNumberFormat="1" applyAlignment="1">
      <alignment vertical="center"/>
    </xf>
    <xf numFmtId="0" fontId="14" fillId="0" borderId="15" xfId="4" applyFont="1" applyBorder="1" applyAlignment="1">
      <alignment horizontal="center" vertical="center" wrapText="1" readingOrder="1"/>
    </xf>
    <xf numFmtId="0" fontId="28" fillId="0" borderId="0" xfId="0" applyFont="1"/>
    <xf numFmtId="0" fontId="28" fillId="0" borderId="0" xfId="4" applyFont="1"/>
    <xf numFmtId="165" fontId="28" fillId="0" borderId="0" xfId="0" applyNumberFormat="1" applyFont="1" applyFill="1" applyBorder="1" applyAlignment="1">
      <alignment horizontal="right" vertical="center" indent="1"/>
    </xf>
    <xf numFmtId="3" fontId="29" fillId="0" borderId="7" xfId="0" applyNumberFormat="1" applyFont="1" applyBorder="1" applyAlignment="1">
      <alignment horizontal="right" vertical="center" indent="1"/>
    </xf>
    <xf numFmtId="3" fontId="29" fillId="0" borderId="10" xfId="0" applyNumberFormat="1" applyFont="1" applyBorder="1" applyAlignment="1">
      <alignment horizontal="right" vertical="center" indent="1"/>
    </xf>
    <xf numFmtId="0" fontId="12" fillId="0" borderId="3" xfId="0" applyFont="1" applyBorder="1" applyAlignment="1">
      <alignment horizontal="right" vertical="center"/>
    </xf>
    <xf numFmtId="3" fontId="8" fillId="0" borderId="0" xfId="0" applyNumberFormat="1" applyFont="1" applyFill="1" applyBorder="1"/>
    <xf numFmtId="0" fontId="27" fillId="0" borderId="0" xfId="0" applyFont="1" applyBorder="1" applyAlignment="1">
      <alignment horizontal="left" vertical="center"/>
    </xf>
    <xf numFmtId="3" fontId="10" fillId="0" borderId="0" xfId="4" applyNumberFormat="1"/>
    <xf numFmtId="166" fontId="28" fillId="0" borderId="8" xfId="1" applyNumberFormat="1" applyFont="1" applyBorder="1" applyAlignment="1">
      <alignment horizontal="right" vertical="center" indent="1"/>
    </xf>
    <xf numFmtId="166" fontId="29" fillId="0" borderId="8" xfId="1" applyNumberFormat="1" applyFont="1" applyBorder="1" applyAlignment="1">
      <alignment horizontal="right" vertical="center" indent="1"/>
    </xf>
    <xf numFmtId="0" fontId="22" fillId="0" borderId="4" xfId="0" applyFont="1" applyBorder="1" applyAlignment="1">
      <alignment horizontal="left" vertical="center"/>
    </xf>
    <xf numFmtId="2" fontId="18" fillId="0" borderId="0" xfId="0" applyNumberFormat="1" applyFont="1" applyFill="1" applyBorder="1" applyAlignment="1">
      <alignment horizontal="right" vertical="center" wrapText="1"/>
    </xf>
    <xf numFmtId="167" fontId="2" fillId="0" borderId="0" xfId="4" applyNumberFormat="1" applyFont="1" applyFill="1" applyBorder="1" applyAlignment="1">
      <alignment horizontal="center" vertical="center" wrapText="1"/>
    </xf>
    <xf numFmtId="0" fontId="18" fillId="0" borderId="1" xfId="0" applyFont="1" applyBorder="1" applyAlignment="1">
      <alignment horizontal="right" vertical="center"/>
    </xf>
    <xf numFmtId="0" fontId="12" fillId="0" borderId="0" xfId="0" applyFont="1" applyBorder="1" applyAlignment="1">
      <alignment horizontal="right" vertical="center" readingOrder="2"/>
    </xf>
    <xf numFmtId="3" fontId="14" fillId="0" borderId="0" xfId="4" applyNumberFormat="1" applyFont="1" applyFill="1" applyBorder="1" applyAlignment="1">
      <alignment horizontal="right" vertical="center" indent="1"/>
    </xf>
    <xf numFmtId="3" fontId="29" fillId="0" borderId="13" xfId="1" applyNumberFormat="1" applyFont="1" applyBorder="1" applyAlignment="1">
      <alignment horizontal="right" vertical="center" indent="1"/>
    </xf>
    <xf numFmtId="166" fontId="27" fillId="0" borderId="13" xfId="0" applyNumberFormat="1" applyFont="1" applyBorder="1" applyAlignment="1">
      <alignment vertical="center"/>
    </xf>
    <xf numFmtId="3" fontId="14" fillId="0" borderId="12" xfId="0" applyNumberFormat="1" applyFont="1" applyBorder="1" applyAlignment="1">
      <alignment horizontal="left" wrapText="1" indent="1" readingOrder="2"/>
    </xf>
    <xf numFmtId="3" fontId="14" fillId="0" borderId="6" xfId="0" applyNumberFormat="1" applyFont="1" applyBorder="1" applyAlignment="1">
      <alignment horizontal="left" wrapText="1" indent="1" readingOrder="2"/>
    </xf>
    <xf numFmtId="3" fontId="14" fillId="0" borderId="6" xfId="0" applyNumberFormat="1" applyFont="1" applyFill="1" applyBorder="1" applyAlignment="1">
      <alignment horizontal="left" wrapText="1" indent="1" readingOrder="2"/>
    </xf>
    <xf numFmtId="0" fontId="10" fillId="0" borderId="3" xfId="0" applyFont="1" applyBorder="1" applyAlignment="1">
      <alignment vertical="center"/>
    </xf>
    <xf numFmtId="0" fontId="32" fillId="0" borderId="14" xfId="0" applyFont="1" applyBorder="1" applyAlignment="1">
      <alignment vertical="center"/>
    </xf>
    <xf numFmtId="0" fontId="31" fillId="0" borderId="2" xfId="0" applyFont="1" applyBorder="1" applyAlignment="1">
      <alignment horizontal="left" vertical="center" readingOrder="1"/>
    </xf>
    <xf numFmtId="2" fontId="22" fillId="0" borderId="6" xfId="0" applyNumberFormat="1" applyFont="1" applyFill="1" applyBorder="1" applyAlignment="1">
      <alignment horizontal="left" vertical="center" wrapText="1" indent="1"/>
    </xf>
    <xf numFmtId="2" fontId="22" fillId="0" borderId="11" xfId="0" applyNumberFormat="1" applyFont="1" applyFill="1" applyBorder="1" applyAlignment="1">
      <alignment horizontal="left" vertical="center" wrapText="1" indent="1"/>
    </xf>
    <xf numFmtId="2" fontId="26" fillId="0" borderId="7" xfId="0" applyNumberFormat="1" applyFont="1" applyFill="1" applyBorder="1" applyAlignment="1">
      <alignment horizontal="left" vertical="center" wrapText="1" indent="1"/>
    </xf>
    <xf numFmtId="0" fontId="14" fillId="0" borderId="2" xfId="4" applyFont="1" applyBorder="1"/>
    <xf numFmtId="0" fontId="27" fillId="0" borderId="14" xfId="0" applyFont="1" applyBorder="1" applyAlignment="1">
      <alignment horizontal="left" vertical="center"/>
    </xf>
    <xf numFmtId="2" fontId="26" fillId="0" borderId="13" xfId="0" applyNumberFormat="1" applyFont="1" applyFill="1" applyBorder="1" applyAlignment="1">
      <alignment vertical="center" wrapText="1"/>
    </xf>
    <xf numFmtId="2" fontId="22" fillId="0" borderId="0" xfId="0" applyNumberFormat="1" applyFont="1" applyFill="1" applyBorder="1" applyAlignment="1">
      <alignment vertical="center" wrapText="1"/>
    </xf>
    <xf numFmtId="0" fontId="26" fillId="0" borderId="5" xfId="0" applyFont="1" applyBorder="1" applyAlignment="1">
      <alignment horizontal="center" vertical="center" wrapText="1"/>
    </xf>
    <xf numFmtId="166" fontId="27" fillId="0" borderId="8" xfId="1" applyNumberFormat="1" applyFont="1" applyBorder="1" applyAlignment="1">
      <alignment vertical="center"/>
    </xf>
    <xf numFmtId="166" fontId="27" fillId="0" borderId="0" xfId="1" applyNumberFormat="1" applyFont="1" applyBorder="1" applyAlignment="1">
      <alignment vertical="center"/>
    </xf>
    <xf numFmtId="1" fontId="28" fillId="0" borderId="0" xfId="0" applyNumberFormat="1" applyFont="1" applyBorder="1" applyAlignment="1">
      <alignment horizontal="right" vertical="center" indent="1"/>
    </xf>
    <xf numFmtId="1" fontId="10" fillId="0" borderId="0" xfId="0" applyNumberFormat="1" applyFont="1" applyAlignment="1">
      <alignment vertical="center"/>
    </xf>
    <xf numFmtId="3" fontId="14" fillId="0" borderId="0" xfId="0" applyNumberFormat="1" applyFont="1" applyFill="1" applyBorder="1" applyAlignment="1">
      <alignment horizontal="left" wrapText="1" indent="1" readingOrder="2"/>
    </xf>
    <xf numFmtId="3" fontId="14" fillId="0" borderId="7" xfId="0" applyNumberFormat="1" applyFont="1" applyFill="1" applyBorder="1" applyAlignment="1">
      <alignment horizontal="left" wrapText="1" indent="1" readingOrder="2"/>
    </xf>
    <xf numFmtId="4" fontId="0" fillId="0" borderId="0" xfId="0" applyNumberFormat="1" applyFill="1" applyBorder="1" applyAlignment="1">
      <alignment horizontal="right" vertical="center" indent="1"/>
    </xf>
    <xf numFmtId="0" fontId="18" fillId="0" borderId="1" xfId="0" applyFont="1" applyBorder="1" applyAlignment="1">
      <alignment horizontal="left" vertical="center" readingOrder="2"/>
    </xf>
    <xf numFmtId="0" fontId="18" fillId="0" borderId="3" xfId="0" applyFont="1" applyBorder="1" applyAlignment="1">
      <alignment horizontal="left" vertical="center" readingOrder="2"/>
    </xf>
    <xf numFmtId="3" fontId="29" fillId="0" borderId="8" xfId="0" applyNumberFormat="1" applyFont="1" applyBorder="1" applyAlignment="1">
      <alignment horizontal="right" vertical="center" indent="1"/>
    </xf>
    <xf numFmtId="3" fontId="28" fillId="0" borderId="8" xfId="0" applyNumberFormat="1" applyFont="1" applyBorder="1" applyAlignment="1">
      <alignment horizontal="right" vertical="center" indent="1"/>
    </xf>
    <xf numFmtId="3" fontId="29" fillId="0" borderId="13" xfId="0" applyNumberFormat="1" applyFont="1" applyBorder="1" applyAlignment="1">
      <alignment horizontal="right" vertical="center" indent="1"/>
    </xf>
    <xf numFmtId="0" fontId="14" fillId="0" borderId="2" xfId="0" applyFont="1" applyBorder="1" applyAlignment="1">
      <alignment horizontal="right" vertical="center" indent="1"/>
    </xf>
    <xf numFmtId="0" fontId="14" fillId="0" borderId="2" xfId="0" applyFont="1" applyFill="1" applyBorder="1" applyAlignment="1">
      <alignment horizontal="right" vertical="center" indent="1"/>
    </xf>
    <xf numFmtId="3" fontId="32" fillId="0" borderId="0" xfId="0" applyNumberFormat="1" applyFont="1" applyBorder="1" applyAlignment="1">
      <alignment horizontal="right" vertical="center" indent="1"/>
    </xf>
    <xf numFmtId="3" fontId="32" fillId="0" borderId="8" xfId="0" applyNumberFormat="1" applyFont="1" applyBorder="1" applyAlignment="1">
      <alignment horizontal="right" vertical="center" indent="1"/>
    </xf>
    <xf numFmtId="3" fontId="31" fillId="0" borderId="0" xfId="0" applyNumberFormat="1" applyFont="1" applyBorder="1" applyAlignment="1">
      <alignment horizontal="right" vertical="center" indent="1"/>
    </xf>
    <xf numFmtId="3" fontId="31" fillId="0" borderId="13" xfId="0" applyNumberFormat="1" applyFont="1" applyBorder="1" applyAlignment="1">
      <alignment horizontal="right" vertical="center" indent="1"/>
    </xf>
    <xf numFmtId="0" fontId="27" fillId="0" borderId="9" xfId="4" applyFont="1" applyBorder="1" applyAlignment="1">
      <alignment horizontal="left" vertical="center" wrapText="1" readingOrder="2"/>
    </xf>
    <xf numFmtId="3" fontId="29" fillId="0" borderId="0" xfId="1" applyNumberFormat="1" applyFont="1" applyBorder="1" applyAlignment="1">
      <alignment horizontal="right" vertical="center" indent="1"/>
    </xf>
    <xf numFmtId="0" fontId="14" fillId="0" borderId="7" xfId="0" applyFont="1" applyFill="1" applyBorder="1" applyAlignment="1">
      <alignment horizontal="right" vertical="center" indent="1"/>
    </xf>
    <xf numFmtId="0" fontId="14" fillId="0" borderId="10" xfId="0" applyFont="1" applyFill="1" applyBorder="1" applyAlignment="1">
      <alignment horizontal="left" vertical="center" indent="1"/>
    </xf>
    <xf numFmtId="41" fontId="31" fillId="0" borderId="13" xfId="0" applyNumberFormat="1" applyFont="1" applyBorder="1" applyAlignment="1">
      <alignment horizontal="right" vertical="center" indent="1"/>
    </xf>
    <xf numFmtId="41" fontId="14" fillId="0" borderId="0" xfId="0" applyNumberFormat="1" applyFont="1" applyAlignment="1">
      <alignment vertical="center"/>
    </xf>
    <xf numFmtId="0" fontId="27" fillId="0" borderId="3" xfId="4" applyFont="1" applyBorder="1" applyAlignment="1">
      <alignment horizontal="left" vertical="center" wrapText="1" readingOrder="2"/>
    </xf>
    <xf numFmtId="41" fontId="28" fillId="0" borderId="0" xfId="0" applyNumberFormat="1" applyFont="1" applyBorder="1" applyAlignment="1">
      <alignment horizontal="right" vertical="center" indent="1"/>
    </xf>
    <xf numFmtId="0" fontId="14" fillId="0" borderId="11" xfId="0" applyFont="1" applyBorder="1" applyAlignment="1">
      <alignment horizontal="left" vertical="center" indent="1"/>
    </xf>
    <xf numFmtId="0" fontId="14" fillId="0" borderId="11" xfId="0" applyFont="1" applyFill="1" applyBorder="1" applyAlignment="1">
      <alignment horizontal="left" vertical="center" indent="1"/>
    </xf>
    <xf numFmtId="41" fontId="31" fillId="0" borderId="0" xfId="0" applyNumberFormat="1" applyFont="1" applyBorder="1" applyAlignment="1">
      <alignment horizontal="right" vertical="center" indent="1"/>
    </xf>
    <xf numFmtId="0" fontId="22" fillId="0" borderId="0" xfId="0" applyFont="1" applyBorder="1" applyAlignment="1">
      <alignment horizontal="left" vertical="center"/>
    </xf>
    <xf numFmtId="166" fontId="29" fillId="0" borderId="9" xfId="1" applyNumberFormat="1" applyFont="1" applyBorder="1" applyAlignment="1">
      <alignment horizontal="right" vertical="center" indent="1"/>
    </xf>
    <xf numFmtId="166" fontId="29" fillId="0" borderId="11" xfId="1" applyNumberFormat="1" applyFont="1" applyBorder="1" applyAlignment="1">
      <alignment horizontal="right" vertical="center" indent="1"/>
    </xf>
    <xf numFmtId="166" fontId="29" fillId="0" borderId="10" xfId="1" applyNumberFormat="1" applyFont="1" applyBorder="1" applyAlignment="1">
      <alignment horizontal="right" vertical="center" indent="1"/>
    </xf>
    <xf numFmtId="3" fontId="14" fillId="0" borderId="9" xfId="0" applyNumberFormat="1" applyFont="1" applyBorder="1" applyAlignment="1">
      <alignment horizontal="left" wrapText="1" indent="1" readingOrder="2"/>
    </xf>
    <xf numFmtId="3" fontId="14" fillId="0" borderId="11" xfId="0" applyNumberFormat="1" applyFont="1" applyBorder="1" applyAlignment="1">
      <alignment horizontal="left" wrapText="1" indent="1" readingOrder="2"/>
    </xf>
    <xf numFmtId="3" fontId="36" fillId="0" borderId="11" xfId="0" applyNumberFormat="1" applyFont="1" applyBorder="1" applyAlignment="1">
      <alignment horizontal="left" wrapText="1" indent="1" readingOrder="2"/>
    </xf>
    <xf numFmtId="3" fontId="36" fillId="0" borderId="11" xfId="0" applyNumberFormat="1" applyFont="1" applyFill="1" applyBorder="1" applyAlignment="1">
      <alignment horizontal="left" wrapText="1" indent="1" readingOrder="2"/>
    </xf>
    <xf numFmtId="3" fontId="36" fillId="0" borderId="10" xfId="0" applyNumberFormat="1" applyFont="1" applyFill="1" applyBorder="1" applyAlignment="1">
      <alignment horizontal="left" wrapText="1" indent="1" readingOrder="2"/>
    </xf>
    <xf numFmtId="3" fontId="33" fillId="0" borderId="9" xfId="0" applyNumberFormat="1" applyFont="1" applyBorder="1" applyAlignment="1">
      <alignment horizontal="right" vertical="center" indent="1"/>
    </xf>
    <xf numFmtId="3" fontId="33" fillId="0" borderId="11" xfId="0" applyNumberFormat="1" applyFont="1" applyBorder="1" applyAlignment="1">
      <alignment horizontal="right" vertical="center" indent="1"/>
    </xf>
    <xf numFmtId="3" fontId="33" fillId="0" borderId="10" xfId="0" applyNumberFormat="1" applyFont="1" applyBorder="1" applyAlignment="1">
      <alignment horizontal="right" vertical="center" indent="1"/>
    </xf>
    <xf numFmtId="0" fontId="26" fillId="0" borderId="2" xfId="0" applyFont="1" applyBorder="1" applyAlignment="1">
      <alignment horizontal="center" vertical="center" wrapText="1"/>
    </xf>
    <xf numFmtId="0" fontId="27" fillId="0" borderId="3" xfId="0" applyFont="1" applyBorder="1" applyAlignment="1">
      <alignment horizontal="left" vertical="center" indent="1"/>
    </xf>
    <xf numFmtId="0" fontId="14" fillId="0" borderId="3" xfId="0" applyFont="1" applyBorder="1" applyAlignment="1">
      <alignment horizontal="left" vertical="center" indent="1"/>
    </xf>
    <xf numFmtId="0" fontId="18" fillId="0" borderId="14" xfId="0" applyFont="1" applyBorder="1" applyAlignment="1">
      <alignment horizontal="center" vertical="center"/>
    </xf>
    <xf numFmtId="0" fontId="14" fillId="2" borderId="12" xfId="0" applyFont="1" applyFill="1" applyBorder="1" applyAlignment="1">
      <alignment horizontal="left" vertical="center" wrapText="1"/>
    </xf>
    <xf numFmtId="41" fontId="14" fillId="0" borderId="12" xfId="1" applyNumberFormat="1" applyFont="1" applyFill="1" applyBorder="1" applyAlignment="1">
      <alignment horizontal="right" vertical="center" wrapText="1" readingOrder="1"/>
    </xf>
    <xf numFmtId="41" fontId="14" fillId="0" borderId="8" xfId="1" applyNumberFormat="1" applyFont="1" applyFill="1" applyBorder="1" applyAlignment="1">
      <alignment horizontal="right" vertical="center" wrapText="1" readingOrder="1"/>
    </xf>
    <xf numFmtId="169" fontId="14" fillId="0" borderId="8" xfId="1" applyNumberFormat="1" applyFont="1" applyFill="1" applyBorder="1" applyAlignment="1">
      <alignment horizontal="right" vertical="center" wrapText="1" readingOrder="1"/>
    </xf>
    <xf numFmtId="41" fontId="14" fillId="0" borderId="9" xfId="1" applyNumberFormat="1" applyFont="1" applyFill="1" applyBorder="1" applyAlignment="1">
      <alignment horizontal="right" vertical="center" wrapText="1" readingOrder="1"/>
    </xf>
    <xf numFmtId="0" fontId="12" fillId="0" borderId="9" xfId="0" applyFont="1" applyFill="1" applyBorder="1" applyAlignment="1">
      <alignment horizontal="right" vertical="top" wrapText="1" readingOrder="2"/>
    </xf>
    <xf numFmtId="0" fontId="14" fillId="2" borderId="6" xfId="0" applyFont="1" applyFill="1" applyBorder="1" applyAlignment="1">
      <alignment horizontal="left" vertical="center" wrapText="1"/>
    </xf>
    <xf numFmtId="41" fontId="14" fillId="0" borderId="6" xfId="1" applyNumberFormat="1" applyFont="1" applyBorder="1" applyAlignment="1">
      <alignment horizontal="right" vertical="center" wrapText="1" readingOrder="1"/>
    </xf>
    <xf numFmtId="41" fontId="14" fillId="0" borderId="0" xfId="1" applyNumberFormat="1" applyFont="1" applyBorder="1" applyAlignment="1">
      <alignment horizontal="right" vertical="center" wrapText="1" readingOrder="1"/>
    </xf>
    <xf numFmtId="41" fontId="14" fillId="0" borderId="0" xfId="1" applyNumberFormat="1" applyFont="1" applyFill="1" applyBorder="1" applyAlignment="1">
      <alignment horizontal="right" vertical="center" wrapText="1" readingOrder="1"/>
    </xf>
    <xf numFmtId="41" fontId="14" fillId="0" borderId="11" xfId="0" applyNumberFormat="1" applyFont="1" applyBorder="1" applyAlignment="1">
      <alignment vertical="center"/>
    </xf>
    <xf numFmtId="0" fontId="12" fillId="0" borderId="11" xfId="0" applyFont="1" applyFill="1" applyBorder="1" applyAlignment="1">
      <alignment horizontal="right" vertical="top" wrapText="1" readingOrder="2"/>
    </xf>
    <xf numFmtId="41" fontId="14" fillId="0" borderId="0" xfId="0" applyNumberFormat="1" applyFont="1" applyBorder="1" applyAlignment="1">
      <alignment horizontal="left" wrapText="1" readingOrder="1"/>
    </xf>
    <xf numFmtId="41" fontId="14" fillId="0" borderId="0" xfId="0" applyNumberFormat="1" applyFont="1" applyBorder="1" applyAlignment="1">
      <alignment horizontal="right" wrapText="1"/>
    </xf>
    <xf numFmtId="41" fontId="14" fillId="0" borderId="11" xfId="1" applyNumberFormat="1" applyFont="1" applyFill="1" applyBorder="1" applyAlignment="1">
      <alignment horizontal="right" vertical="center" wrapText="1" readingOrder="1"/>
    </xf>
    <xf numFmtId="0" fontId="27" fillId="2" borderId="6" xfId="0" applyFont="1" applyFill="1" applyBorder="1" applyAlignment="1">
      <alignment horizontal="left" vertical="center" wrapText="1"/>
    </xf>
    <xf numFmtId="41" fontId="27" fillId="0" borderId="6" xfId="1" applyNumberFormat="1" applyFont="1" applyFill="1" applyBorder="1" applyAlignment="1">
      <alignment horizontal="right" vertical="center" wrapText="1" readingOrder="1"/>
    </xf>
    <xf numFmtId="41" fontId="27" fillId="0" borderId="0" xfId="1" applyNumberFormat="1" applyFont="1" applyFill="1" applyBorder="1" applyAlignment="1">
      <alignment horizontal="right" vertical="center" wrapText="1" readingOrder="1"/>
    </xf>
    <xf numFmtId="41" fontId="27" fillId="0" borderId="11" xfId="1" applyNumberFormat="1" applyFont="1" applyFill="1" applyBorder="1" applyAlignment="1">
      <alignment horizontal="right" vertical="center" wrapText="1" readingOrder="1"/>
    </xf>
    <xf numFmtId="0" fontId="18" fillId="0" borderId="11" xfId="0" applyFont="1" applyBorder="1" applyAlignment="1">
      <alignment horizontal="right" vertical="top" wrapText="1" readingOrder="2"/>
    </xf>
    <xf numFmtId="41" fontId="14" fillId="0" borderId="6" xfId="1" applyNumberFormat="1" applyFont="1" applyFill="1" applyBorder="1" applyAlignment="1">
      <alignment horizontal="right" vertical="center" wrapText="1" readingOrder="1"/>
    </xf>
    <xf numFmtId="0" fontId="12" fillId="0" borderId="11" xfId="0" applyFont="1" applyBorder="1" applyAlignment="1">
      <alignment horizontal="right" vertical="top" wrapText="1" readingOrder="2"/>
    </xf>
    <xf numFmtId="0" fontId="12" fillId="0" borderId="11" xfId="0" applyFont="1" applyBorder="1" applyAlignment="1">
      <alignment horizontal="right" vertical="center" wrapText="1" readingOrder="2"/>
    </xf>
    <xf numFmtId="41" fontId="27" fillId="0" borderId="6" xfId="1" applyNumberFormat="1" applyFont="1" applyBorder="1" applyAlignment="1">
      <alignment horizontal="right" vertical="center" wrapText="1" readingOrder="1"/>
    </xf>
    <xf numFmtId="41" fontId="27" fillId="0" borderId="0" xfId="1" applyNumberFormat="1" applyFont="1" applyBorder="1" applyAlignment="1">
      <alignment horizontal="right" vertical="center" wrapText="1" readingOrder="1"/>
    </xf>
    <xf numFmtId="41" fontId="27" fillId="0" borderId="11" xfId="1" applyNumberFormat="1" applyFont="1" applyBorder="1" applyAlignment="1">
      <alignment horizontal="right" vertical="center" wrapText="1" readingOrder="1"/>
    </xf>
    <xf numFmtId="0" fontId="12" fillId="0" borderId="11" xfId="0" applyFont="1" applyBorder="1" applyAlignment="1">
      <alignment horizontal="right" vertical="top" readingOrder="2"/>
    </xf>
    <xf numFmtId="169" fontId="14" fillId="0" borderId="6" xfId="1" applyNumberFormat="1" applyFont="1" applyBorder="1" applyAlignment="1">
      <alignment horizontal="right" vertical="center" wrapText="1" readingOrder="1"/>
    </xf>
    <xf numFmtId="0" fontId="27" fillId="2" borderId="7" xfId="0" applyFont="1" applyFill="1" applyBorder="1" applyAlignment="1">
      <alignment horizontal="left" vertical="center" wrapText="1"/>
    </xf>
    <xf numFmtId="169" fontId="27" fillId="0" borderId="7" xfId="1" applyNumberFormat="1" applyFont="1" applyBorder="1" applyAlignment="1">
      <alignment horizontal="right" vertical="center" wrapText="1" readingOrder="1"/>
    </xf>
    <xf numFmtId="41" fontId="27" fillId="0" borderId="13" xfId="1" applyNumberFormat="1" applyFont="1" applyBorder="1" applyAlignment="1">
      <alignment horizontal="right" vertical="center" wrapText="1" readingOrder="1"/>
    </xf>
    <xf numFmtId="41" fontId="27" fillId="0" borderId="13" xfId="1" applyNumberFormat="1" applyFont="1" applyFill="1" applyBorder="1" applyAlignment="1">
      <alignment horizontal="right" vertical="center" wrapText="1" readingOrder="1"/>
    </xf>
    <xf numFmtId="169" fontId="27" fillId="0" borderId="13" xfId="1" applyNumberFormat="1" applyFont="1" applyBorder="1" applyAlignment="1">
      <alignment horizontal="right" vertical="center" wrapText="1" readingOrder="1"/>
    </xf>
    <xf numFmtId="169" fontId="27" fillId="0" borderId="10" xfId="1" applyNumberFormat="1" applyFont="1" applyBorder="1" applyAlignment="1">
      <alignment horizontal="right" vertical="center" wrapText="1" readingOrder="1"/>
    </xf>
    <xf numFmtId="0" fontId="18" fillId="0" borderId="10" xfId="0" applyFont="1" applyBorder="1" applyAlignment="1">
      <alignment horizontal="right" vertical="top" wrapText="1" readingOrder="2"/>
    </xf>
    <xf numFmtId="0" fontId="14" fillId="2" borderId="0" xfId="0" applyFont="1" applyFill="1" applyBorder="1" applyAlignment="1">
      <alignment horizontal="left" vertical="center" wrapText="1"/>
    </xf>
    <xf numFmtId="0" fontId="12" fillId="0" borderId="0" xfId="0" applyFont="1" applyBorder="1" applyAlignment="1">
      <alignment horizontal="right" vertical="top" readingOrder="2"/>
    </xf>
    <xf numFmtId="0" fontId="27" fillId="2" borderId="0" xfId="0" applyFont="1" applyFill="1" applyBorder="1" applyAlignment="1">
      <alignment horizontal="left" vertical="center" wrapText="1"/>
    </xf>
    <xf numFmtId="0" fontId="18" fillId="0" borderId="0" xfId="0" applyFont="1" applyBorder="1" applyAlignment="1">
      <alignment horizontal="right" vertical="top" readingOrder="2"/>
    </xf>
    <xf numFmtId="4" fontId="27" fillId="0" borderId="12" xfId="0" applyNumberFormat="1" applyFont="1" applyBorder="1" applyAlignment="1">
      <alignment horizontal="right" wrapText="1"/>
    </xf>
    <xf numFmtId="4" fontId="14" fillId="0" borderId="8" xfId="0" applyNumberFormat="1" applyFont="1" applyBorder="1" applyAlignment="1">
      <alignment horizontal="right" wrapText="1"/>
    </xf>
    <xf numFmtId="4" fontId="14" fillId="0" borderId="9" xfId="0" applyNumberFormat="1" applyFont="1" applyBorder="1" applyAlignment="1">
      <alignment horizontal="right" wrapText="1"/>
    </xf>
    <xf numFmtId="0" fontId="12" fillId="0" borderId="4" xfId="0" applyFont="1" applyBorder="1" applyAlignment="1">
      <alignment horizontal="right" vertical="top" wrapText="1" readingOrder="2"/>
    </xf>
    <xf numFmtId="4" fontId="27" fillId="0" borderId="6" xfId="0" applyNumberFormat="1" applyFont="1" applyBorder="1" applyAlignment="1">
      <alignment horizontal="right" wrapText="1"/>
    </xf>
    <xf numFmtId="4" fontId="14" fillId="0" borderId="0" xfId="0" applyNumberFormat="1" applyFont="1" applyBorder="1" applyAlignment="1">
      <alignment horizontal="right" wrapText="1"/>
    </xf>
    <xf numFmtId="4" fontId="14" fillId="0" borderId="11" xfId="0" applyNumberFormat="1" applyFont="1" applyBorder="1" applyAlignment="1">
      <alignment horizontal="right" wrapText="1"/>
    </xf>
    <xf numFmtId="0" fontId="12" fillId="0" borderId="2" xfId="0" applyFont="1" applyBorder="1" applyAlignment="1">
      <alignment horizontal="right" vertical="top" wrapText="1" readingOrder="2"/>
    </xf>
    <xf numFmtId="41" fontId="14" fillId="0" borderId="11" xfId="0" applyNumberFormat="1" applyFont="1" applyBorder="1" applyAlignment="1">
      <alignment horizontal="right" wrapText="1"/>
    </xf>
    <xf numFmtId="41" fontId="14" fillId="0" borderId="6" xfId="0" applyNumberFormat="1" applyFont="1" applyBorder="1" applyAlignment="1">
      <alignment horizontal="right" wrapText="1"/>
    </xf>
    <xf numFmtId="4" fontId="27" fillId="0" borderId="0" xfId="0" applyNumberFormat="1" applyFont="1" applyBorder="1" applyAlignment="1">
      <alignment horizontal="right" wrapText="1"/>
    </xf>
    <xf numFmtId="4" fontId="27" fillId="0" borderId="11" xfId="0" applyNumberFormat="1" applyFont="1" applyBorder="1" applyAlignment="1">
      <alignment horizontal="right" wrapText="1"/>
    </xf>
    <xf numFmtId="0" fontId="18" fillId="0" borderId="2" xfId="0" applyFont="1" applyBorder="1" applyAlignment="1">
      <alignment horizontal="right" vertical="top" wrapText="1" readingOrder="2"/>
    </xf>
    <xf numFmtId="170" fontId="27" fillId="0" borderId="6" xfId="0" applyNumberFormat="1" applyFont="1" applyBorder="1" applyAlignment="1">
      <alignment horizontal="right" wrapText="1"/>
    </xf>
    <xf numFmtId="170" fontId="27" fillId="0" borderId="0" xfId="0" applyNumberFormat="1" applyFont="1" applyBorder="1" applyAlignment="1">
      <alignment horizontal="right" wrapText="1"/>
    </xf>
    <xf numFmtId="171" fontId="27" fillId="0" borderId="0" xfId="0" applyNumberFormat="1" applyFont="1" applyBorder="1" applyAlignment="1">
      <alignment horizontal="right" wrapText="1"/>
    </xf>
    <xf numFmtId="41" fontId="27" fillId="0" borderId="0" xfId="0" applyNumberFormat="1" applyFont="1" applyBorder="1" applyAlignment="1">
      <alignment horizontal="right" wrapText="1"/>
    </xf>
    <xf numFmtId="170" fontId="14" fillId="0" borderId="0" xfId="0" applyNumberFormat="1" applyFont="1" applyBorder="1" applyAlignment="1">
      <alignment horizontal="right" wrapText="1"/>
    </xf>
    <xf numFmtId="0" fontId="12" fillId="0" borderId="2" xfId="0" applyFont="1" applyBorder="1" applyAlignment="1">
      <alignment horizontal="right" vertical="top" readingOrder="2"/>
    </xf>
    <xf numFmtId="4" fontId="27" fillId="0" borderId="7" xfId="0" applyNumberFormat="1" applyFont="1" applyBorder="1" applyAlignment="1">
      <alignment horizontal="right" wrapText="1"/>
    </xf>
    <xf numFmtId="41" fontId="14" fillId="0" borderId="13" xfId="0" applyNumberFormat="1" applyFont="1" applyBorder="1" applyAlignment="1">
      <alignment horizontal="right" wrapText="1"/>
    </xf>
    <xf numFmtId="4" fontId="27" fillId="0" borderId="13" xfId="0" applyNumberFormat="1" applyFont="1" applyBorder="1" applyAlignment="1">
      <alignment horizontal="right" wrapText="1"/>
    </xf>
    <xf numFmtId="41" fontId="14" fillId="0" borderId="10" xfId="0" applyNumberFormat="1" applyFont="1" applyBorder="1" applyAlignment="1">
      <alignment horizontal="right" wrapText="1"/>
    </xf>
    <xf numFmtId="0" fontId="18" fillId="0" borderId="5" xfId="0" applyFont="1" applyBorder="1" applyAlignment="1">
      <alignment horizontal="right" vertical="top" wrapText="1" readingOrder="2"/>
    </xf>
    <xf numFmtId="4" fontId="14" fillId="0" borderId="0" xfId="0" applyNumberFormat="1" applyFont="1" applyBorder="1" applyAlignment="1">
      <alignment horizontal="right" wrapText="1" indent="1"/>
    </xf>
    <xf numFmtId="4" fontId="14" fillId="0" borderId="0" xfId="0" applyNumberFormat="1" applyFont="1" applyBorder="1" applyAlignment="1">
      <alignment horizontal="right" wrapText="1" readingOrder="2"/>
    </xf>
    <xf numFmtId="0" fontId="26" fillId="0" borderId="3" xfId="0" applyFont="1" applyBorder="1" applyAlignment="1">
      <alignment vertical="center"/>
    </xf>
    <xf numFmtId="0" fontId="23" fillId="0" borderId="0" xfId="0" applyFont="1" applyAlignment="1">
      <alignment horizontal="center" vertical="center" readingOrder="2"/>
    </xf>
    <xf numFmtId="0" fontId="25" fillId="0" borderId="0" xfId="0" applyFont="1" applyAlignment="1">
      <alignment horizontal="center" vertical="center"/>
    </xf>
    <xf numFmtId="0" fontId="26" fillId="0" borderId="4" xfId="0" applyFont="1" applyBorder="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18" fillId="0" borderId="12"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2" fillId="0" borderId="0" xfId="0" applyFont="1" applyBorder="1" applyAlignment="1">
      <alignment horizontal="right" vertical="center" wrapText="1" readingOrder="2"/>
    </xf>
    <xf numFmtId="0" fontId="22" fillId="0" borderId="0" xfId="0" applyFont="1" applyBorder="1" applyAlignment="1">
      <alignment horizontal="left" vertical="center" wrapText="1"/>
    </xf>
    <xf numFmtId="0" fontId="0" fillId="0" borderId="0" xfId="0" applyBorder="1" applyAlignment="1">
      <alignment horizontal="left" wrapText="1"/>
    </xf>
    <xf numFmtId="3" fontId="28"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0" fillId="0" borderId="14" xfId="0" applyBorder="1" applyAlignment="1">
      <alignment vertical="center"/>
    </xf>
    <xf numFmtId="0" fontId="0" fillId="0" borderId="0" xfId="0" applyAlignment="1">
      <alignment wrapText="1"/>
    </xf>
    <xf numFmtId="0" fontId="0" fillId="0" borderId="0" xfId="0" applyAlignment="1">
      <alignment horizontal="left" vertical="center" wrapText="1"/>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5" xfId="0" applyFont="1" applyFill="1" applyBorder="1" applyAlignment="1">
      <alignment horizontal="center" vertical="center"/>
    </xf>
    <xf numFmtId="0" fontId="12" fillId="0" borderId="0" xfId="4" applyFont="1" applyBorder="1" applyAlignment="1">
      <alignment vertical="top" wrapText="1"/>
    </xf>
    <xf numFmtId="0" fontId="0" fillId="0" borderId="0" xfId="0" applyBorder="1" applyAlignment="1">
      <alignment vertical="top" wrapText="1"/>
    </xf>
    <xf numFmtId="0" fontId="14" fillId="0" borderId="0" xfId="4" applyFont="1" applyBorder="1" applyAlignment="1">
      <alignment vertical="top" wrapText="1"/>
    </xf>
    <xf numFmtId="0" fontId="23" fillId="0" borderId="0" xfId="4" applyFont="1" applyAlignment="1">
      <alignment horizontal="center" vertical="center" readingOrder="2"/>
    </xf>
    <xf numFmtId="0" fontId="25" fillId="0" borderId="0" xfId="4" applyFont="1" applyAlignment="1">
      <alignment horizontal="center" vertical="center" wrapText="1"/>
    </xf>
    <xf numFmtId="0" fontId="25" fillId="0" borderId="0" xfId="4" applyFont="1" applyAlignment="1">
      <alignment horizontal="center" vertical="center"/>
    </xf>
    <xf numFmtId="0" fontId="18" fillId="0" borderId="12" xfId="4" applyFont="1" applyFill="1" applyBorder="1" applyAlignment="1">
      <alignment horizontal="center" vertical="center"/>
    </xf>
    <xf numFmtId="0" fontId="18" fillId="0" borderId="6" xfId="4" applyFont="1" applyFill="1" applyBorder="1" applyAlignment="1">
      <alignment horizontal="center" vertical="center"/>
    </xf>
    <xf numFmtId="0" fontId="26" fillId="0" borderId="9" xfId="4" applyFont="1" applyBorder="1" applyAlignment="1">
      <alignment horizontal="center" vertical="center"/>
    </xf>
    <xf numFmtId="0" fontId="26" fillId="0" borderId="11" xfId="4" applyFont="1" applyBorder="1" applyAlignment="1">
      <alignment horizontal="center" vertical="center"/>
    </xf>
    <xf numFmtId="0" fontId="12" fillId="0" borderId="0" xfId="4" applyFont="1" applyBorder="1" applyAlignment="1">
      <alignment horizontal="right" vertical="top" wrapText="1" readingOrder="2"/>
    </xf>
    <xf numFmtId="0" fontId="0" fillId="0" borderId="0" xfId="0" applyBorder="1" applyAlignment="1">
      <alignment horizontal="right" vertical="top" wrapText="1" readingOrder="2"/>
    </xf>
    <xf numFmtId="0" fontId="23" fillId="0" borderId="0" xfId="0" applyFont="1" applyAlignment="1">
      <alignment horizontal="center" vertical="center" wrapText="1" readingOrder="2"/>
    </xf>
    <xf numFmtId="0" fontId="25" fillId="0" borderId="0" xfId="0" applyFont="1" applyAlignment="1">
      <alignment horizontal="center" vertical="center" wrapText="1"/>
    </xf>
    <xf numFmtId="0" fontId="18"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27" fillId="0" borderId="4" xfId="0" applyFont="1" applyBorder="1" applyAlignment="1">
      <alignment horizontal="center" vertical="center" wrapText="1"/>
    </xf>
    <xf numFmtId="0" fontId="0" fillId="0" borderId="2" xfId="0" applyBorder="1" applyAlignment="1">
      <alignment vertical="center"/>
    </xf>
    <xf numFmtId="0" fontId="0" fillId="0" borderId="5" xfId="0" applyBorder="1" applyAlignment="1">
      <alignment vertical="center"/>
    </xf>
    <xf numFmtId="0" fontId="31" fillId="0" borderId="0" xfId="0" applyFont="1" applyBorder="1" applyAlignment="1">
      <alignment horizontal="left" vertical="center" wrapText="1" readingOrder="1"/>
    </xf>
    <xf numFmtId="0" fontId="28" fillId="0" borderId="0" xfId="0" applyFont="1" applyBorder="1" applyAlignment="1">
      <alignment horizontal="left" vertical="center" wrapText="1" readingOrder="1"/>
    </xf>
    <xf numFmtId="0" fontId="1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26" fillId="0" borderId="2"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27" fillId="0" borderId="2" xfId="0" applyFont="1" applyBorder="1" applyAlignment="1">
      <alignment horizontal="center" vertical="center" wrapText="1"/>
    </xf>
    <xf numFmtId="0" fontId="27" fillId="0" borderId="5" xfId="0" applyFont="1" applyBorder="1" applyAlignment="1">
      <alignment horizontal="center" vertical="center"/>
    </xf>
    <xf numFmtId="0" fontId="26" fillId="0" borderId="4" xfId="0" applyFont="1" applyBorder="1" applyAlignment="1">
      <alignment horizontal="center" vertical="center" wrapText="1"/>
    </xf>
    <xf numFmtId="0" fontId="6" fillId="0" borderId="2" xfId="0" applyFont="1" applyBorder="1" applyAlignment="1">
      <alignment vertical="center"/>
    </xf>
    <xf numFmtId="0" fontId="0" fillId="0" borderId="0" xfId="0" applyAlignment="1">
      <alignment horizontal="left" vertical="center" wrapText="1" readingOrder="1"/>
    </xf>
    <xf numFmtId="0" fontId="0" fillId="0" borderId="0" xfId="0" applyAlignment="1">
      <alignment vertical="center"/>
    </xf>
    <xf numFmtId="0" fontId="18" fillId="0" borderId="5" xfId="0" applyFont="1" applyBorder="1" applyAlignment="1">
      <alignment horizontal="center" vertical="center" wrapText="1"/>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12" fillId="0" borderId="8" xfId="0" applyFont="1" applyBorder="1" applyAlignment="1">
      <alignment horizontal="right" vertical="center" wrapText="1" readingOrder="2"/>
    </xf>
    <xf numFmtId="0" fontId="31" fillId="0" borderId="8" xfId="0" applyFont="1" applyBorder="1" applyAlignment="1">
      <alignment horizontal="left" vertical="center" wrapText="1" readingOrder="1"/>
    </xf>
    <xf numFmtId="0" fontId="18" fillId="0" borderId="15" xfId="0" applyFont="1" applyBorder="1" applyAlignment="1">
      <alignment horizontal="center" vertical="center" wrapText="1" readingOrder="2"/>
    </xf>
    <xf numFmtId="0" fontId="27" fillId="0" borderId="15" xfId="0" applyFont="1" applyBorder="1" applyAlignment="1">
      <alignment horizontal="center" vertical="center" wrapText="1" readingOrder="2"/>
    </xf>
    <xf numFmtId="0" fontId="14" fillId="0" borderId="0" xfId="0" applyFont="1" applyBorder="1" applyAlignment="1">
      <alignment horizontal="left" vertical="center" wrapText="1" readingOrder="1"/>
    </xf>
    <xf numFmtId="0" fontId="18" fillId="0" borderId="4" xfId="0" applyFont="1" applyBorder="1" applyAlignment="1">
      <alignment horizontal="center" vertical="center" wrapText="1" readingOrder="2"/>
    </xf>
    <xf numFmtId="0" fontId="0" fillId="0" borderId="2" xfId="0" applyBorder="1" applyAlignment="1">
      <alignment horizontal="center" wrapText="1" readingOrder="2"/>
    </xf>
    <xf numFmtId="0" fontId="27" fillId="0" borderId="2" xfId="0" applyFont="1" applyBorder="1" applyAlignment="1">
      <alignment horizontal="center" vertical="center" wrapText="1" readingOrder="1"/>
    </xf>
    <xf numFmtId="0" fontId="10" fillId="0" borderId="5" xfId="0" applyFont="1" applyBorder="1" applyAlignment="1">
      <alignment horizontal="center" wrapText="1" readingOrder="1"/>
    </xf>
    <xf numFmtId="0" fontId="10" fillId="0" borderId="5" xfId="0" applyFont="1" applyBorder="1" applyAlignment="1">
      <alignment horizontal="center" vertical="center" wrapText="1" readingOrder="1"/>
    </xf>
    <xf numFmtId="0" fontId="23" fillId="0" borderId="0" xfId="0" applyFont="1" applyFill="1" applyAlignment="1">
      <alignment horizontal="center" vertical="center"/>
    </xf>
    <xf numFmtId="0" fontId="25" fillId="0" borderId="0" xfId="0" applyFont="1" applyFill="1" applyAlignment="1">
      <alignment horizontal="center" vertical="center"/>
    </xf>
    <xf numFmtId="0" fontId="5" fillId="0" borderId="0" xfId="0" applyFont="1" applyFill="1" applyBorder="1" applyAlignment="1">
      <alignment horizontal="right" vertical="center"/>
    </xf>
    <xf numFmtId="0" fontId="16" fillId="0" borderId="0" xfId="0" applyFont="1" applyFill="1" applyBorder="1" applyAlignment="1">
      <alignment horizontal="right" vertical="center"/>
    </xf>
    <xf numFmtId="1" fontId="15" fillId="0" borderId="0" xfId="0" applyNumberFormat="1" applyFont="1" applyFill="1" applyBorder="1" applyAlignment="1">
      <alignment horizontal="center" vertical="center" wrapText="1"/>
    </xf>
    <xf numFmtId="0" fontId="12" fillId="0" borderId="8" xfId="0" applyFont="1" applyBorder="1" applyAlignment="1">
      <alignment horizontal="right" vertical="center" readingOrder="2"/>
    </xf>
    <xf numFmtId="0" fontId="12" fillId="0" borderId="0" xfId="0" applyFont="1" applyBorder="1" applyAlignment="1">
      <alignment horizontal="right" vertical="center" readingOrder="2"/>
    </xf>
    <xf numFmtId="0" fontId="18" fillId="0" borderId="1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6"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22" fillId="0" borderId="8" xfId="0" applyFont="1" applyBorder="1" applyAlignment="1">
      <alignment horizontal="left" vertical="center" wrapText="1"/>
    </xf>
    <xf numFmtId="0" fontId="14" fillId="0" borderId="0" xfId="0" applyFont="1" applyBorder="1" applyAlignment="1">
      <alignment horizontal="left" vertical="center" wrapText="1"/>
    </xf>
    <xf numFmtId="0" fontId="15" fillId="0" borderId="0" xfId="4" applyFont="1" applyFill="1" applyBorder="1" applyAlignment="1">
      <alignment horizontal="left" vertical="center" wrapText="1"/>
    </xf>
    <xf numFmtId="0" fontId="23" fillId="0" borderId="0" xfId="4" applyFont="1" applyFill="1" applyAlignment="1">
      <alignment horizontal="center" vertical="center"/>
    </xf>
    <xf numFmtId="0" fontId="25" fillId="0" borderId="0" xfId="4" applyFont="1" applyFill="1" applyAlignment="1">
      <alignment horizontal="center" vertical="center"/>
    </xf>
    <xf numFmtId="0" fontId="18" fillId="0" borderId="12" xfId="4" applyFont="1" applyFill="1" applyBorder="1" applyAlignment="1">
      <alignment horizontal="center" vertical="center" wrapText="1"/>
    </xf>
    <xf numFmtId="0" fontId="18" fillId="0" borderId="6" xfId="4" applyFont="1" applyFill="1" applyBorder="1" applyAlignment="1">
      <alignment horizontal="center" vertical="center" wrapText="1"/>
    </xf>
    <xf numFmtId="0" fontId="18" fillId="0" borderId="7" xfId="4" applyFont="1" applyFill="1" applyBorder="1" applyAlignment="1">
      <alignment horizontal="center" vertical="center" wrapText="1"/>
    </xf>
    <xf numFmtId="0" fontId="26" fillId="0" borderId="4" xfId="4" applyFont="1" applyFill="1" applyBorder="1" applyAlignment="1">
      <alignment horizontal="center" vertical="center" wrapText="1"/>
    </xf>
    <xf numFmtId="0" fontId="26" fillId="0" borderId="2" xfId="4" applyFont="1" applyFill="1" applyBorder="1" applyAlignment="1">
      <alignment horizontal="center" vertical="center" wrapText="1"/>
    </xf>
    <xf numFmtId="0" fontId="26" fillId="0" borderId="5" xfId="4" applyFont="1" applyFill="1" applyBorder="1" applyAlignment="1">
      <alignment horizontal="center" vertical="center" wrapText="1"/>
    </xf>
    <xf numFmtId="0" fontId="12" fillId="0" borderId="0" xfId="4" applyFont="1" applyBorder="1" applyAlignment="1">
      <alignment horizontal="right" vertical="center" wrapText="1" readingOrder="2"/>
    </xf>
    <xf numFmtId="0" fontId="14" fillId="0" borderId="0" xfId="4" applyFont="1" applyBorder="1" applyAlignment="1">
      <alignment horizontal="left" vertical="center" wrapText="1" readingOrder="1"/>
    </xf>
    <xf numFmtId="0" fontId="5" fillId="0" borderId="0" xfId="4" applyFont="1" applyFill="1" applyBorder="1" applyAlignment="1">
      <alignment horizontal="center" vertical="center"/>
    </xf>
    <xf numFmtId="0" fontId="10" fillId="0" borderId="0" xfId="4" applyFill="1" applyBorder="1" applyAlignment="1">
      <alignment horizontal="center" vertical="center"/>
    </xf>
    <xf numFmtId="0" fontId="5" fillId="0" borderId="0" xfId="4" applyFont="1" applyFill="1" applyBorder="1" applyAlignment="1">
      <alignment horizontal="right" vertical="center"/>
    </xf>
    <xf numFmtId="0" fontId="16" fillId="0" borderId="0" xfId="4" applyFont="1" applyFill="1" applyBorder="1" applyAlignment="1">
      <alignment horizontal="right" vertical="center"/>
    </xf>
    <xf numFmtId="1" fontId="15" fillId="0" borderId="0" xfId="4" applyNumberFormat="1" applyFont="1" applyFill="1" applyBorder="1" applyAlignment="1">
      <alignment horizontal="center" vertical="center" wrapText="1"/>
    </xf>
    <xf numFmtId="0" fontId="3" fillId="0" borderId="0" xfId="4" applyFont="1" applyFill="1" applyAlignment="1">
      <alignment horizontal="center" vertical="center"/>
    </xf>
    <xf numFmtId="0" fontId="23" fillId="0" borderId="0" xfId="0" applyFont="1" applyAlignment="1">
      <alignment horizontal="center" vertical="center"/>
    </xf>
    <xf numFmtId="0" fontId="46" fillId="0" borderId="13" xfId="0" applyFont="1" applyBorder="1" applyAlignment="1">
      <alignment horizontal="center" vertical="center"/>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0" xfId="0" applyFont="1" applyBorder="1" applyAlignment="1">
      <alignment horizontal="left" vertical="top" wrapText="1" readingOrder="1"/>
    </xf>
    <xf numFmtId="0" fontId="12" fillId="0" borderId="0" xfId="0" applyFont="1" applyBorder="1" applyAlignment="1">
      <alignment horizontal="right" vertical="top" wrapText="1" readingOrder="2"/>
    </xf>
    <xf numFmtId="4" fontId="14" fillId="0" borderId="0" xfId="0" applyNumberFormat="1" applyFont="1" applyFill="1" applyBorder="1" applyAlignment="1">
      <alignment horizontal="left" vertical="top" wrapText="1" readingOrder="1"/>
    </xf>
    <xf numFmtId="0" fontId="12" fillId="0" borderId="0" xfId="0" applyFont="1" applyAlignment="1">
      <alignment horizontal="right" vertical="top" wrapText="1" readingOrder="2"/>
    </xf>
    <xf numFmtId="0" fontId="46" fillId="0" borderId="0" xfId="0" applyFont="1" applyBorder="1" applyAlignment="1">
      <alignment horizontal="center" vertical="center"/>
    </xf>
    <xf numFmtId="0" fontId="6" fillId="0" borderId="4" xfId="0" applyFont="1" applyBorder="1" applyAlignment="1">
      <alignment horizontal="center" vertical="center" wrapText="1"/>
    </xf>
    <xf numFmtId="0" fontId="27" fillId="0" borderId="1" xfId="0" applyFont="1" applyBorder="1" applyAlignment="1">
      <alignment horizontal="left" vertical="center"/>
    </xf>
    <xf numFmtId="0" fontId="27" fillId="0" borderId="3" xfId="0" applyFont="1" applyBorder="1" applyAlignment="1">
      <alignment horizontal="left" vertical="center"/>
    </xf>
    <xf numFmtId="0" fontId="27" fillId="0" borderId="3" xfId="0" applyFont="1" applyBorder="1" applyAlignment="1">
      <alignment horizontal="right" vertical="center"/>
    </xf>
    <xf numFmtId="0" fontId="27" fillId="0" borderId="14" xfId="0" applyFont="1" applyBorder="1" applyAlignment="1">
      <alignment horizontal="right" vertical="center"/>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31" fillId="0" borderId="0" xfId="0" applyFont="1" applyBorder="1" applyAlignment="1">
      <alignment horizontal="left" vertical="center" wrapText="1"/>
    </xf>
    <xf numFmtId="0" fontId="47" fillId="0" borderId="0" xfId="0" applyFont="1" applyBorder="1" applyAlignment="1">
      <alignment horizontal="right" vertical="center" wrapText="1" readingOrder="2"/>
    </xf>
  </cellXfs>
  <cellStyles count="6">
    <cellStyle name="Comma" xfId="1" builtinId="3"/>
    <cellStyle name="Hyperlink" xfId="2" builtinId="8"/>
    <cellStyle name="MS_Latin" xfId="3"/>
    <cellStyle name="Normal" xfId="0" builtinId="0"/>
    <cellStyle name="Normal 2"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1575;&#1587;&#1578;&#1607;&#1604;&#1575;&#1603;%20&#1575;&#1604;&#1591;&#1575;&#1602;&#1577;/&#1575;&#1587;&#1578;&#1607;&#1604;&#1575;&#1603;%202013/&#1587;&#1604;&#1591;&#1577;%20&#1575;&#1604;&#1591;&#1575;&#1602;&#1577;/&#1608;&#1575;&#1585;&#1583;&#1575;&#1578;%20&#1575;&#1604;&#1603;&#1607;&#1585;&#1576;&#1575;&#1569;%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1575;&#1587;&#1578;&#1607;&#1604;&#1575;&#1603;%20&#1575;&#1604;&#1591;&#1575;&#1602;&#1577;/&#1575;&#1587;&#1578;&#1607;&#1604;&#1575;&#1603;%202015/&#1593;&#1583;&#1583;%20&#1605;&#1585;&#1575;&#1610;&#1575;%20&#1575;&#1604;&#1590;&#1601;&#1577;%20&#1581;&#1587;&#1576;%20&#1575;&#1604;&#1578;&#1593;&#1583;&#1575;&#158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1575;&#1587;&#1578;&#1607;&#1604;&#1575;&#1603;%20&#1575;&#1604;&#1591;&#1575;&#1602;&#1577;/&#1575;&#1587;&#1578;&#1607;&#1604;&#1575;&#1603;%202015/&#1575;&#1602;&#1578;&#1589;&#1575;&#1583;&#1610;&#1577;/&#1587;&#1604;&#1587;&#1604;&#1577;/&#1587;&#1604;&#1587;&#1604;&#1577;)%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587;&#1604;&#1587;&#1604;&#1577;)%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1575;&#1587;&#1578;&#1607;&#1604;&#1575;&#1603;%20&#1575;&#1604;&#1591;&#1575;&#1602;&#1577;/&#1575;&#1587;&#1578;&#1607;&#1604;&#1575;&#1603;%202014/&#1580;&#1583;&#1575;&#1608;&#1604;%202014/EB_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576;&#1610;&#1575;&#1606;&#1575;&#1578;%20&#1575;&#1604;&#1605;&#1587;&#1581;%20&#1604;&#1605;&#1610;&#1586;&#1575;&#1606;%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1575;&#1587;&#1578;&#1607;&#1604;&#1575;&#1603;%20&#1575;&#1604;&#1591;&#1575;&#1602;&#1577;/&#1575;&#1587;&#1578;&#1607;&#1604;&#1575;&#1603;%202013/&#1575;&#1604;&#1580;&#1583;&#1575;&#1608;&#1604;/222&#1580;&#1583;&#1575;&#1608;&#1604;%20&#1606;&#1607;&#1575;&#1574;&#1610;/&#1605;&#1610;&#1586;&#1575;&#1606;%20&#1575;&#1604;&#1591;&#1575;&#1602;&#157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B_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الأصل"/>
      <sheetName val="معالجة"/>
      <sheetName val="Sheet3"/>
    </sheetNames>
    <sheetDataSet>
      <sheetData sheetId="0">
        <row r="72">
          <cell r="B72">
            <v>5089.3</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ورقة1"/>
      <sheetName val="ورقة2"/>
      <sheetName val="ورقة3"/>
    </sheetNames>
    <sheetDataSet>
      <sheetData sheetId="0"/>
      <sheetData sheetId="1">
        <row r="25">
          <cell r="N25">
            <v>1498096</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الطاقة 2015"/>
      <sheetName val="حسابات"/>
    </sheetNames>
    <sheetDataSet>
      <sheetData sheetId="0"/>
      <sheetData sheetId="1">
        <row r="81">
          <cell r="X81">
            <v>13502.823236989736</v>
          </cell>
        </row>
        <row r="84">
          <cell r="AA84">
            <v>150397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الطاقة 2015"/>
      <sheetName val="حسابات"/>
    </sheetNames>
    <sheetDataSet>
      <sheetData sheetId="0">
        <row r="58">
          <cell r="D58">
            <v>576201</v>
          </cell>
        </row>
        <row r="63">
          <cell r="J63">
            <v>2066</v>
          </cell>
        </row>
        <row r="69">
          <cell r="B69">
            <v>1327081</v>
          </cell>
        </row>
      </sheetData>
      <sheetData sheetId="1">
        <row r="74">
          <cell r="N74">
            <v>393.39937619620491</v>
          </cell>
          <cell r="O74">
            <v>2861.1394945670181</v>
          </cell>
          <cell r="S74">
            <v>7.6668430775790508</v>
          </cell>
        </row>
        <row r="75">
          <cell r="N75">
            <v>207.8391992627717</v>
          </cell>
          <cell r="X75">
            <v>374.69511132215382</v>
          </cell>
        </row>
        <row r="76">
          <cell r="N76">
            <v>10725.309007139142</v>
          </cell>
          <cell r="O76">
            <v>2883.0880402912876</v>
          </cell>
          <cell r="S76">
            <v>7161.237759544194</v>
          </cell>
        </row>
        <row r="77">
          <cell r="N77">
            <v>8385.8602550369505</v>
          </cell>
          <cell r="O77">
            <v>11885.328366860727</v>
          </cell>
          <cell r="S77">
            <v>59.170039642519356</v>
          </cell>
        </row>
        <row r="79">
          <cell r="X79">
            <v>226.75363400690426</v>
          </cell>
        </row>
        <row r="80">
          <cell r="X80">
            <v>1333.875949172852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hysical unit"/>
      <sheetName val="terajoul"/>
      <sheetName val="terajoul (2)"/>
    </sheetNames>
    <sheetDataSet>
      <sheetData sheetId="0">
        <row r="23">
          <cell r="C23">
            <v>360000</v>
          </cell>
        </row>
        <row r="24">
          <cell r="G24">
            <v>2403</v>
          </cell>
          <cell r="I24">
            <v>31</v>
          </cell>
          <cell r="J24">
            <v>4127</v>
          </cell>
          <cell r="K24">
            <v>8002</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0">
          <cell r="I60">
            <v>3273689</v>
          </cell>
        </row>
      </sheetData>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hysical unit"/>
      <sheetName val="terajoul"/>
      <sheetName val="terajoul (print)"/>
    </sheetNames>
    <sheetDataSet>
      <sheetData sheetId="0">
        <row r="24">
          <cell r="K24">
            <v>37369</v>
          </cell>
        </row>
      </sheetData>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hysical unit"/>
      <sheetName val="terajoul"/>
      <sheetName val="terajoul (2)"/>
    </sheetNames>
    <sheetDataSet>
      <sheetData sheetId="0">
        <row r="8">
          <cell r="B8">
            <v>1498096</v>
          </cell>
          <cell r="C8">
            <v>343240</v>
          </cell>
          <cell r="D8">
            <v>38057</v>
          </cell>
          <cell r="L8">
            <v>9250</v>
          </cell>
        </row>
        <row r="9">
          <cell r="C9">
            <v>27917</v>
          </cell>
          <cell r="E9">
            <v>11680</v>
          </cell>
          <cell r="F9">
            <v>1083</v>
          </cell>
          <cell r="G9">
            <v>167213</v>
          </cell>
          <cell r="H9">
            <v>3556</v>
          </cell>
          <cell r="I9">
            <v>1868</v>
          </cell>
          <cell r="J9">
            <v>292257</v>
          </cell>
          <cell r="K9">
            <v>677774</v>
          </cell>
          <cell r="L9">
            <v>5413088</v>
          </cell>
        </row>
        <row r="10">
          <cell r="C10">
            <v>-1110</v>
          </cell>
          <cell r="F10">
            <v>-141</v>
          </cell>
        </row>
        <row r="15">
          <cell r="J15">
            <v>-13503</v>
          </cell>
          <cell r="K15">
            <v>-105284</v>
          </cell>
          <cell r="L15">
            <v>505367</v>
          </cell>
        </row>
        <row r="16">
          <cell r="I16">
            <v>5</v>
          </cell>
          <cell r="J16">
            <v>2247</v>
          </cell>
          <cell r="K16">
            <v>1832</v>
          </cell>
          <cell r="L16">
            <v>711325</v>
          </cell>
        </row>
        <row r="19">
          <cell r="C19">
            <v>4886</v>
          </cell>
          <cell r="D19">
            <v>9514</v>
          </cell>
          <cell r="G19">
            <v>8445</v>
          </cell>
          <cell r="I19">
            <v>208</v>
          </cell>
          <cell r="J19">
            <v>401</v>
          </cell>
          <cell r="K19">
            <v>17887</v>
          </cell>
          <cell r="L19">
            <v>576201</v>
          </cell>
        </row>
        <row r="21">
          <cell r="G21">
            <v>4855</v>
          </cell>
          <cell r="K21">
            <v>533760</v>
          </cell>
        </row>
        <row r="23">
          <cell r="B23">
            <v>749048</v>
          </cell>
          <cell r="I23">
            <v>1241</v>
          </cell>
          <cell r="K23">
            <v>6125</v>
          </cell>
        </row>
        <row r="24">
          <cell r="C24">
            <v>0</v>
          </cell>
          <cell r="G24">
            <v>3004</v>
          </cell>
          <cell r="I24">
            <v>39</v>
          </cell>
          <cell r="J24">
            <v>5159</v>
          </cell>
          <cell r="K24">
            <v>10003</v>
          </cell>
          <cell r="L24">
            <v>39409</v>
          </cell>
        </row>
        <row r="25">
          <cell r="C25">
            <v>1561</v>
          </cell>
          <cell r="G25">
            <v>11885</v>
          </cell>
          <cell r="I25">
            <v>375</v>
          </cell>
          <cell r="J25">
            <v>2861</v>
          </cell>
          <cell r="L25">
            <v>1327081</v>
          </cell>
        </row>
        <row r="26">
          <cell r="E26">
            <v>11680</v>
          </cell>
          <cell r="F26">
            <v>942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O36"/>
  <sheetViews>
    <sheetView rightToLeft="1" view="pageBreakPreview" zoomScaleNormal="100" zoomScaleSheetLayoutView="100" workbookViewId="0">
      <selection activeCell="Q15" sqref="Q15"/>
    </sheetView>
  </sheetViews>
  <sheetFormatPr defaultRowHeight="12.75"/>
  <cols>
    <col min="1" max="1" width="13" customWidth="1"/>
    <col min="2" max="2" width="12.7109375" customWidth="1"/>
    <col min="3" max="3" width="14" customWidth="1"/>
    <col min="4" max="4" width="14.28515625" customWidth="1"/>
    <col min="5" max="5" width="13.85546875" customWidth="1"/>
    <col min="6" max="6" width="14" customWidth="1"/>
    <col min="7" max="7" width="12.42578125" customWidth="1"/>
    <col min="8" max="8" width="12.85546875" customWidth="1"/>
    <col min="9" max="9" width="12.7109375" customWidth="1"/>
    <col min="10" max="10" width="14.140625" customWidth="1"/>
    <col min="11" max="11" width="12.42578125" customWidth="1"/>
    <col min="12" max="12" width="12.140625" bestFit="1" customWidth="1"/>
  </cols>
  <sheetData>
    <row r="1" spans="1:15" ht="17.100000000000001" customHeight="1">
      <c r="A1" s="309" t="s">
        <v>137</v>
      </c>
      <c r="B1" s="309"/>
      <c r="C1" s="309"/>
      <c r="D1" s="309"/>
      <c r="E1" s="309"/>
      <c r="F1" s="309"/>
      <c r="G1" s="309"/>
      <c r="H1" s="309"/>
      <c r="I1" s="309"/>
      <c r="J1" s="309"/>
      <c r="K1" s="309"/>
    </row>
    <row r="2" spans="1:15" ht="17.100000000000001" customHeight="1">
      <c r="A2" s="310" t="s">
        <v>138</v>
      </c>
      <c r="B2" s="310"/>
      <c r="C2" s="310"/>
      <c r="D2" s="310"/>
      <c r="E2" s="310"/>
      <c r="F2" s="310"/>
      <c r="G2" s="310"/>
      <c r="H2" s="310"/>
      <c r="I2" s="310"/>
      <c r="J2" s="310"/>
      <c r="K2" s="310"/>
    </row>
    <row r="3" spans="1:15" ht="6" customHeight="1"/>
    <row r="4" spans="1:15" s="3" customFormat="1" ht="15.95" customHeight="1">
      <c r="A4" s="314" t="s">
        <v>0</v>
      </c>
      <c r="B4" s="205" t="s">
        <v>121</v>
      </c>
      <c r="C4" s="206"/>
      <c r="D4" s="206"/>
      <c r="E4" s="206"/>
      <c r="F4" s="206"/>
      <c r="G4" s="308" t="s">
        <v>122</v>
      </c>
      <c r="H4" s="308"/>
      <c r="I4" s="308"/>
      <c r="J4" s="308"/>
      <c r="K4" s="311" t="s">
        <v>1</v>
      </c>
    </row>
    <row r="5" spans="1:15" s="3" customFormat="1" ht="15.75" customHeight="1">
      <c r="A5" s="315"/>
      <c r="B5" s="32" t="s">
        <v>84</v>
      </c>
      <c r="C5" s="32" t="s">
        <v>12</v>
      </c>
      <c r="D5" s="32" t="s">
        <v>116</v>
      </c>
      <c r="E5" s="32" t="s">
        <v>135</v>
      </c>
      <c r="F5" s="32" t="s">
        <v>69</v>
      </c>
      <c r="G5" s="32" t="s">
        <v>6</v>
      </c>
      <c r="H5" s="32" t="s">
        <v>86</v>
      </c>
      <c r="I5" s="32" t="s">
        <v>9</v>
      </c>
      <c r="J5" s="32" t="s">
        <v>91</v>
      </c>
      <c r="K5" s="312"/>
    </row>
    <row r="6" spans="1:15" s="3" customFormat="1" ht="32.1" customHeight="1">
      <c r="A6" s="316"/>
      <c r="B6" s="36" t="s">
        <v>85</v>
      </c>
      <c r="C6" s="36" t="s">
        <v>107</v>
      </c>
      <c r="D6" s="36" t="s">
        <v>109</v>
      </c>
      <c r="E6" s="36" t="s">
        <v>136</v>
      </c>
      <c r="F6" s="36" t="s">
        <v>108</v>
      </c>
      <c r="G6" s="36" t="s">
        <v>11</v>
      </c>
      <c r="H6" s="36" t="s">
        <v>60</v>
      </c>
      <c r="I6" s="36" t="s">
        <v>10</v>
      </c>
      <c r="J6" s="36" t="s">
        <v>90</v>
      </c>
      <c r="K6" s="313"/>
    </row>
    <row r="7" spans="1:15" s="3" customFormat="1" ht="15.95" customHeight="1">
      <c r="A7" s="48" t="s">
        <v>47</v>
      </c>
      <c r="B7" s="81">
        <f>'كهرباء 3'!E8</f>
        <v>538162</v>
      </c>
      <c r="C7">
        <v>22535</v>
      </c>
      <c r="D7" s="147">
        <v>52620</v>
      </c>
      <c r="E7" s="28">
        <v>399</v>
      </c>
      <c r="F7" s="81">
        <v>596</v>
      </c>
      <c r="G7" s="81">
        <v>15648</v>
      </c>
      <c r="H7" s="146">
        <v>850</v>
      </c>
      <c r="I7" s="82">
        <v>69</v>
      </c>
      <c r="J7" s="82">
        <v>2635</v>
      </c>
      <c r="K7" s="46" t="s">
        <v>25</v>
      </c>
      <c r="L7" s="29"/>
      <c r="M7" s="28">
        <v>314300</v>
      </c>
      <c r="N7" s="28">
        <f>M7/1000</f>
        <v>314.3</v>
      </c>
      <c r="O7" s="28">
        <f>ROUND(N7,0)</f>
        <v>314</v>
      </c>
    </row>
    <row r="8" spans="1:15" s="3" customFormat="1" ht="15.95" customHeight="1">
      <c r="A8" s="49" t="s">
        <v>32</v>
      </c>
      <c r="B8" s="81">
        <f>'كهرباء 3'!E9</f>
        <v>476457</v>
      </c>
      <c r="C8">
        <v>23714</v>
      </c>
      <c r="D8" s="147">
        <v>56376</v>
      </c>
      <c r="E8" s="28">
        <v>512</v>
      </c>
      <c r="F8" s="81">
        <v>451</v>
      </c>
      <c r="G8" s="81">
        <v>15614</v>
      </c>
      <c r="H8" s="146">
        <v>947</v>
      </c>
      <c r="I8" s="82">
        <v>76</v>
      </c>
      <c r="J8" s="82">
        <v>2558</v>
      </c>
      <c r="K8" s="46" t="s">
        <v>13</v>
      </c>
      <c r="L8" s="29"/>
      <c r="M8" s="28">
        <v>277950</v>
      </c>
      <c r="N8" s="28">
        <f t="shared" ref="N8:N18" si="0">M8/1000</f>
        <v>277.95</v>
      </c>
      <c r="O8" s="28">
        <f t="shared" ref="O8:O18" si="1">ROUND(N8,0)</f>
        <v>278</v>
      </c>
    </row>
    <row r="9" spans="1:15" s="3" customFormat="1" ht="15.95" customHeight="1">
      <c r="A9" s="49" t="s">
        <v>33</v>
      </c>
      <c r="B9" s="81">
        <f>'كهرباء 3'!E10</f>
        <v>442162</v>
      </c>
      <c r="C9">
        <v>24335</v>
      </c>
      <c r="D9" s="147">
        <v>49769</v>
      </c>
      <c r="E9" s="28">
        <v>262</v>
      </c>
      <c r="F9" s="81">
        <v>60</v>
      </c>
      <c r="G9" s="81">
        <v>14520</v>
      </c>
      <c r="H9" s="146">
        <v>1420</v>
      </c>
      <c r="I9" s="82">
        <v>110</v>
      </c>
      <c r="J9" s="82">
        <v>3610</v>
      </c>
      <c r="K9" s="46" t="s">
        <v>14</v>
      </c>
      <c r="L9" s="29"/>
      <c r="M9" s="28">
        <v>265830</v>
      </c>
      <c r="N9" s="28">
        <f t="shared" si="0"/>
        <v>265.83</v>
      </c>
      <c r="O9" s="28">
        <f t="shared" si="1"/>
        <v>266</v>
      </c>
    </row>
    <row r="10" spans="1:15" s="3" customFormat="1" ht="15.95" customHeight="1">
      <c r="A10" s="49" t="s">
        <v>34</v>
      </c>
      <c r="B10" s="81">
        <f>'كهرباء 3'!E11</f>
        <v>419667</v>
      </c>
      <c r="C10">
        <v>24421</v>
      </c>
      <c r="D10" s="147">
        <v>58123</v>
      </c>
      <c r="E10" s="28">
        <v>326</v>
      </c>
      <c r="F10" s="221">
        <v>0</v>
      </c>
      <c r="G10" s="81">
        <v>12553</v>
      </c>
      <c r="H10" s="146">
        <v>1194</v>
      </c>
      <c r="I10" s="82">
        <v>87</v>
      </c>
      <c r="J10" s="82">
        <v>1634</v>
      </c>
      <c r="K10" s="46" t="s">
        <v>15</v>
      </c>
      <c r="L10" s="29"/>
      <c r="M10" s="28">
        <v>202050</v>
      </c>
      <c r="N10" s="28">
        <f t="shared" si="0"/>
        <v>202.05</v>
      </c>
      <c r="O10" s="28">
        <f t="shared" si="1"/>
        <v>202</v>
      </c>
    </row>
    <row r="11" spans="1:15" s="3" customFormat="1" ht="15.95" customHeight="1">
      <c r="A11" s="49" t="s">
        <v>35</v>
      </c>
      <c r="B11" s="81">
        <f>'كهرباء 3'!E12</f>
        <v>405386</v>
      </c>
      <c r="C11">
        <v>23794</v>
      </c>
      <c r="D11" s="147">
        <v>57469</v>
      </c>
      <c r="E11" s="28">
        <v>374</v>
      </c>
      <c r="F11" s="81">
        <v>10</v>
      </c>
      <c r="G11" s="81">
        <v>12827</v>
      </c>
      <c r="H11" s="146">
        <v>1095</v>
      </c>
      <c r="I11" s="82">
        <v>102</v>
      </c>
      <c r="J11" s="82">
        <v>1623</v>
      </c>
      <c r="K11" s="46" t="s">
        <v>16</v>
      </c>
      <c r="L11" s="29"/>
      <c r="M11" s="28">
        <v>311800</v>
      </c>
      <c r="N11" s="28">
        <f t="shared" si="0"/>
        <v>311.8</v>
      </c>
      <c r="O11" s="28">
        <f t="shared" si="1"/>
        <v>312</v>
      </c>
    </row>
    <row r="12" spans="1:15" s="3" customFormat="1" ht="15.95" customHeight="1">
      <c r="A12" s="49" t="s">
        <v>36</v>
      </c>
      <c r="B12" s="81">
        <f>'كهرباء 3'!E13</f>
        <v>404625</v>
      </c>
      <c r="C12">
        <v>25376</v>
      </c>
      <c r="D12" s="147">
        <v>58808</v>
      </c>
      <c r="E12" s="28">
        <v>126</v>
      </c>
      <c r="F12" s="221">
        <v>0</v>
      </c>
      <c r="G12" s="81">
        <v>13195</v>
      </c>
      <c r="H12" s="146">
        <v>1055</v>
      </c>
      <c r="I12" s="82">
        <v>77</v>
      </c>
      <c r="J12" s="82">
        <v>3603</v>
      </c>
      <c r="K12" s="46" t="s">
        <v>17</v>
      </c>
      <c r="L12" s="29"/>
      <c r="M12" s="28">
        <v>282500</v>
      </c>
      <c r="N12" s="28">
        <f t="shared" si="0"/>
        <v>282.5</v>
      </c>
      <c r="O12" s="28">
        <f t="shared" si="1"/>
        <v>283</v>
      </c>
    </row>
    <row r="13" spans="1:15" s="3" customFormat="1" ht="15.95" customHeight="1">
      <c r="A13" s="49" t="s">
        <v>37</v>
      </c>
      <c r="B13" s="81">
        <f>'كهرباء 3'!E14</f>
        <v>433284</v>
      </c>
      <c r="C13">
        <v>26136</v>
      </c>
      <c r="D13" s="147">
        <v>50472</v>
      </c>
      <c r="E13" s="28">
        <v>222</v>
      </c>
      <c r="F13" s="81">
        <v>46</v>
      </c>
      <c r="G13" s="81">
        <v>12555</v>
      </c>
      <c r="H13" s="146">
        <v>1058</v>
      </c>
      <c r="I13" s="82">
        <v>72</v>
      </c>
      <c r="J13" s="82">
        <v>2060</v>
      </c>
      <c r="K13" s="46" t="s">
        <v>18</v>
      </c>
      <c r="L13" s="29"/>
      <c r="M13" s="28">
        <v>179511</v>
      </c>
      <c r="N13" s="28">
        <f t="shared" si="0"/>
        <v>179.511</v>
      </c>
      <c r="O13" s="28">
        <f t="shared" si="1"/>
        <v>180</v>
      </c>
    </row>
    <row r="14" spans="1:15" s="3" customFormat="1" ht="15.95" customHeight="1">
      <c r="A14" s="49" t="s">
        <v>38</v>
      </c>
      <c r="B14" s="81">
        <f>'كهرباء 3'!E15</f>
        <v>482472</v>
      </c>
      <c r="C14">
        <v>25910</v>
      </c>
      <c r="D14" s="147">
        <v>60746</v>
      </c>
      <c r="E14" s="28">
        <v>259</v>
      </c>
      <c r="F14" s="81">
        <v>25</v>
      </c>
      <c r="G14" s="81">
        <v>12032</v>
      </c>
      <c r="H14" s="146">
        <v>1211</v>
      </c>
      <c r="I14" s="82">
        <v>83</v>
      </c>
      <c r="J14" s="82">
        <v>1300</v>
      </c>
      <c r="K14" s="46" t="s">
        <v>19</v>
      </c>
      <c r="L14" s="29"/>
      <c r="M14" s="28">
        <v>236408</v>
      </c>
      <c r="N14" s="28">
        <f t="shared" si="0"/>
        <v>236.40799999999999</v>
      </c>
      <c r="O14" s="28">
        <f t="shared" si="1"/>
        <v>236</v>
      </c>
    </row>
    <row r="15" spans="1:15" s="3" customFormat="1" ht="15.95" customHeight="1">
      <c r="A15" s="49" t="s">
        <v>39</v>
      </c>
      <c r="B15" s="81">
        <f>'كهرباء 3'!E16</f>
        <v>441186</v>
      </c>
      <c r="C15">
        <v>28449</v>
      </c>
      <c r="D15" s="147">
        <v>61216</v>
      </c>
      <c r="E15" s="28">
        <v>291</v>
      </c>
      <c r="F15" s="221">
        <v>0</v>
      </c>
      <c r="G15" s="81">
        <v>10948</v>
      </c>
      <c r="H15" s="146">
        <v>1063</v>
      </c>
      <c r="I15" s="82">
        <v>56</v>
      </c>
      <c r="J15" s="82">
        <v>1759</v>
      </c>
      <c r="K15" s="46" t="s">
        <v>20</v>
      </c>
      <c r="L15" s="29"/>
      <c r="M15" s="28">
        <v>286423</v>
      </c>
      <c r="N15" s="28">
        <f t="shared" si="0"/>
        <v>286.423</v>
      </c>
      <c r="O15" s="28">
        <f t="shared" si="1"/>
        <v>286</v>
      </c>
    </row>
    <row r="16" spans="1:15" s="3" customFormat="1" ht="15.95" customHeight="1">
      <c r="A16" s="49" t="s">
        <v>48</v>
      </c>
      <c r="B16" s="81">
        <f>'كهرباء 3'!E17</f>
        <v>410910</v>
      </c>
      <c r="C16">
        <v>21767</v>
      </c>
      <c r="D16" s="147">
        <v>57057</v>
      </c>
      <c r="E16" s="28">
        <v>161</v>
      </c>
      <c r="F16" s="81">
        <v>186</v>
      </c>
      <c r="G16" s="81">
        <v>15403</v>
      </c>
      <c r="H16" s="146">
        <v>352</v>
      </c>
      <c r="I16" s="82">
        <v>120</v>
      </c>
      <c r="J16" s="82">
        <v>2410</v>
      </c>
      <c r="K16" s="46" t="s">
        <v>21</v>
      </c>
      <c r="L16" s="29"/>
      <c r="M16" s="28">
        <v>220566</v>
      </c>
      <c r="N16" s="28">
        <f t="shared" si="0"/>
        <v>220.566</v>
      </c>
      <c r="O16" s="28">
        <f t="shared" si="1"/>
        <v>221</v>
      </c>
    </row>
    <row r="17" spans="1:15" s="3" customFormat="1" ht="15.95" customHeight="1">
      <c r="A17" s="49" t="s">
        <v>44</v>
      </c>
      <c r="B17" s="81">
        <f>'كهرباء 3'!E18</f>
        <v>415537</v>
      </c>
      <c r="C17">
        <v>23393</v>
      </c>
      <c r="D17" s="147">
        <v>56239</v>
      </c>
      <c r="E17" s="28">
        <v>376</v>
      </c>
      <c r="F17" s="81">
        <v>172</v>
      </c>
      <c r="G17" s="81">
        <v>15555</v>
      </c>
      <c r="H17" s="146">
        <v>725</v>
      </c>
      <c r="I17" s="82">
        <v>96</v>
      </c>
      <c r="J17" s="82">
        <v>2273</v>
      </c>
      <c r="K17" s="46" t="s">
        <v>22</v>
      </c>
      <c r="L17" s="29"/>
      <c r="M17" s="28">
        <v>205007</v>
      </c>
      <c r="N17" s="28">
        <f t="shared" si="0"/>
        <v>205.00700000000001</v>
      </c>
      <c r="O17" s="28">
        <f t="shared" si="1"/>
        <v>205</v>
      </c>
    </row>
    <row r="18" spans="1:15" s="3" customFormat="1" ht="15.95" customHeight="1">
      <c r="A18" s="49" t="s">
        <v>45</v>
      </c>
      <c r="B18" s="81">
        <f>'كهرباء 3'!E19</f>
        <v>543240</v>
      </c>
      <c r="C18">
        <v>22427</v>
      </c>
      <c r="D18" s="147">
        <v>58879</v>
      </c>
      <c r="E18" s="28">
        <v>248</v>
      </c>
      <c r="F18" s="81">
        <v>322</v>
      </c>
      <c r="G18" s="81">
        <v>16363</v>
      </c>
      <c r="H18" s="146">
        <v>710</v>
      </c>
      <c r="I18" s="82">
        <v>135</v>
      </c>
      <c r="J18" s="82">
        <v>2452</v>
      </c>
      <c r="K18" s="46" t="s">
        <v>23</v>
      </c>
      <c r="L18" s="29"/>
      <c r="M18" s="28">
        <v>370165</v>
      </c>
      <c r="N18" s="28">
        <f t="shared" si="0"/>
        <v>370.16500000000002</v>
      </c>
      <c r="O18" s="28">
        <f t="shared" si="1"/>
        <v>370</v>
      </c>
    </row>
    <row r="19" spans="1:15" s="5" customFormat="1" ht="15.95" customHeight="1">
      <c r="A19" s="50" t="s">
        <v>40</v>
      </c>
      <c r="B19" s="162">
        <f t="shared" ref="B19:J19" si="2">SUM(B7:B18)</f>
        <v>5413088</v>
      </c>
      <c r="C19" s="162">
        <f t="shared" si="2"/>
        <v>292257</v>
      </c>
      <c r="D19" s="162">
        <f t="shared" si="2"/>
        <v>677774</v>
      </c>
      <c r="E19" s="162">
        <f t="shared" si="2"/>
        <v>3556</v>
      </c>
      <c r="F19" s="162">
        <f t="shared" si="2"/>
        <v>1868</v>
      </c>
      <c r="G19" s="162">
        <f t="shared" si="2"/>
        <v>167213</v>
      </c>
      <c r="H19" s="162">
        <f t="shared" si="2"/>
        <v>11680</v>
      </c>
      <c r="I19" s="162">
        <f t="shared" si="2"/>
        <v>1083</v>
      </c>
      <c r="J19" s="162">
        <f t="shared" si="2"/>
        <v>27917</v>
      </c>
      <c r="K19" s="47" t="s">
        <v>31</v>
      </c>
      <c r="L19" s="29"/>
      <c r="M19" s="28"/>
      <c r="N19" s="28"/>
      <c r="O19" s="28"/>
    </row>
    <row r="20" spans="1:15" s="5" customFormat="1" ht="36.75" customHeight="1">
      <c r="A20" s="317" t="s">
        <v>130</v>
      </c>
      <c r="B20" s="317"/>
      <c r="C20" s="317"/>
      <c r="D20" s="317"/>
      <c r="E20" s="317"/>
      <c r="F20" s="317"/>
      <c r="G20" s="320" t="s">
        <v>131</v>
      </c>
      <c r="H20" s="321"/>
      <c r="I20" s="321"/>
      <c r="J20" s="321"/>
      <c r="K20" s="321"/>
      <c r="L20" s="29"/>
      <c r="M20" s="28"/>
      <c r="N20" s="28"/>
      <c r="O20" s="28"/>
    </row>
    <row r="21" spans="1:15" s="5" customFormat="1" ht="15.95" customHeight="1">
      <c r="A21" s="69" t="s">
        <v>88</v>
      </c>
      <c r="B21" s="58"/>
      <c r="C21" s="58"/>
      <c r="D21" s="58"/>
      <c r="E21" s="58"/>
      <c r="F21" s="58"/>
      <c r="G21" s="58"/>
      <c r="H21" s="58"/>
      <c r="I21" s="58"/>
      <c r="J21" s="58"/>
      <c r="K21" s="172" t="s">
        <v>89</v>
      </c>
      <c r="L21" s="29"/>
      <c r="M21" s="80"/>
      <c r="N21" s="28"/>
      <c r="O21" s="28"/>
    </row>
    <row r="22" spans="1:15" ht="28.5" customHeight="1">
      <c r="A22" s="317" t="s">
        <v>139</v>
      </c>
      <c r="B22" s="317"/>
      <c r="C22" s="317"/>
      <c r="D22" s="317"/>
      <c r="E22" s="317"/>
      <c r="F22" s="317"/>
      <c r="G22" s="318" t="s">
        <v>141</v>
      </c>
      <c r="H22" s="318"/>
      <c r="I22" s="319"/>
      <c r="J22" s="319"/>
      <c r="K22" s="319"/>
    </row>
    <row r="23" spans="1:15" ht="27.75" customHeight="1">
      <c r="A23" s="317" t="s">
        <v>140</v>
      </c>
      <c r="B23" s="317"/>
      <c r="C23" s="317"/>
      <c r="D23" s="317"/>
      <c r="E23" s="317"/>
      <c r="F23" s="317"/>
      <c r="G23" s="318" t="s">
        <v>142</v>
      </c>
      <c r="H23" s="318"/>
      <c r="I23" s="319"/>
      <c r="J23" s="319"/>
      <c r="K23" s="319"/>
    </row>
    <row r="24" spans="1:15" ht="18.600000000000001" customHeight="1">
      <c r="B24" s="6"/>
      <c r="C24" s="25"/>
      <c r="D24" s="25"/>
      <c r="E24" s="25"/>
      <c r="F24" s="25"/>
      <c r="G24" s="25"/>
      <c r="H24" s="25"/>
      <c r="I24" s="2"/>
      <c r="J24" s="6"/>
    </row>
    <row r="25" spans="1:15" ht="18.600000000000001" customHeight="1">
      <c r="B25" s="6">
        <v>4734254</v>
      </c>
      <c r="C25" s="54">
        <v>237545</v>
      </c>
      <c r="D25" s="25">
        <v>556780</v>
      </c>
      <c r="E25" s="25"/>
      <c r="F25" s="25">
        <v>1648</v>
      </c>
      <c r="G25" s="25">
        <v>132464</v>
      </c>
      <c r="H25" s="25">
        <v>17507</v>
      </c>
      <c r="I25" s="2">
        <v>2110</v>
      </c>
      <c r="J25" s="6">
        <v>10150</v>
      </c>
    </row>
    <row r="26" spans="1:15" ht="18.600000000000001" customHeight="1">
      <c r="B26" s="171">
        <f>B19-B25</f>
        <v>678834</v>
      </c>
      <c r="C26" s="171">
        <f t="shared" ref="C26:J26" si="3">C19-C25</f>
        <v>54712</v>
      </c>
      <c r="D26" s="171">
        <f t="shared" si="3"/>
        <v>120994</v>
      </c>
      <c r="E26" s="171"/>
      <c r="F26" s="171">
        <f t="shared" si="3"/>
        <v>220</v>
      </c>
      <c r="G26" s="171">
        <f t="shared" si="3"/>
        <v>34749</v>
      </c>
      <c r="H26" s="171">
        <f t="shared" si="3"/>
        <v>-5827</v>
      </c>
      <c r="I26" s="171">
        <f t="shared" si="3"/>
        <v>-1027</v>
      </c>
      <c r="J26" s="171">
        <f t="shared" si="3"/>
        <v>17767</v>
      </c>
    </row>
    <row r="27" spans="1:15">
      <c r="B27" s="6"/>
      <c r="C27" s="25"/>
      <c r="D27" s="25"/>
      <c r="E27" s="25"/>
      <c r="F27" s="25"/>
      <c r="G27" s="25"/>
      <c r="H27" s="25"/>
      <c r="I27" s="2"/>
      <c r="J27" s="6"/>
    </row>
    <row r="28" spans="1:15">
      <c r="B28" s="6"/>
      <c r="C28" s="25"/>
      <c r="D28" s="25"/>
      <c r="E28" s="25"/>
      <c r="F28" s="25"/>
      <c r="G28" s="25"/>
      <c r="H28" s="25"/>
      <c r="I28" s="2"/>
      <c r="J28" s="6"/>
    </row>
    <row r="29" spans="1:15">
      <c r="B29" s="6"/>
      <c r="C29" s="25"/>
      <c r="D29" s="25"/>
      <c r="E29" s="25"/>
      <c r="F29" s="25"/>
      <c r="G29" s="25"/>
      <c r="H29" s="25"/>
      <c r="I29" s="2"/>
      <c r="J29" s="6"/>
    </row>
    <row r="30" spans="1:15">
      <c r="B30" s="6"/>
      <c r="C30" s="25"/>
      <c r="D30" s="25"/>
      <c r="E30" s="25"/>
      <c r="F30" s="25"/>
      <c r="G30" s="25"/>
      <c r="H30" s="25"/>
      <c r="I30" s="2"/>
      <c r="J30" s="6"/>
    </row>
    <row r="31" spans="1:15">
      <c r="B31" s="6"/>
      <c r="C31" s="25"/>
      <c r="D31" s="25"/>
      <c r="E31" s="25"/>
      <c r="F31" s="25"/>
      <c r="G31" s="25"/>
      <c r="H31" s="25"/>
      <c r="I31" s="2"/>
      <c r="J31" s="6"/>
    </row>
    <row r="32" spans="1:15">
      <c r="B32" s="6"/>
      <c r="C32" s="25"/>
      <c r="D32" s="25"/>
      <c r="E32" s="25"/>
      <c r="F32" s="25"/>
      <c r="G32" s="25"/>
      <c r="H32" s="25"/>
      <c r="I32" s="2"/>
      <c r="J32" s="6"/>
    </row>
    <row r="33" spans="2:10">
      <c r="B33" s="6"/>
      <c r="C33" s="25"/>
      <c r="D33" s="25"/>
      <c r="E33" s="25"/>
      <c r="F33" s="25"/>
      <c r="G33" s="25"/>
      <c r="H33" s="25"/>
      <c r="I33" s="2"/>
      <c r="J33" s="6"/>
    </row>
    <row r="34" spans="2:10">
      <c r="B34" s="6"/>
      <c r="C34" s="25"/>
      <c r="D34" s="25"/>
      <c r="E34" s="25"/>
      <c r="F34" s="25"/>
      <c r="G34" s="25"/>
      <c r="H34" s="25"/>
      <c r="I34" s="2"/>
      <c r="J34" s="6"/>
    </row>
    <row r="35" spans="2:10">
      <c r="B35" s="6"/>
      <c r="C35" s="25"/>
      <c r="D35" s="25"/>
      <c r="E35" s="25"/>
      <c r="F35" s="25"/>
      <c r="G35" s="25"/>
      <c r="H35" s="25"/>
      <c r="I35" s="25"/>
      <c r="J35" s="6"/>
    </row>
    <row r="36" spans="2:10">
      <c r="B36" s="25"/>
      <c r="C36" s="25"/>
      <c r="D36" s="25"/>
      <c r="E36" s="25"/>
      <c r="F36" s="25"/>
      <c r="G36" s="25"/>
      <c r="H36" s="25"/>
      <c r="I36" s="25"/>
    </row>
  </sheetData>
  <mergeCells count="11">
    <mergeCell ref="A23:F23"/>
    <mergeCell ref="A22:F22"/>
    <mergeCell ref="G23:K23"/>
    <mergeCell ref="G22:K22"/>
    <mergeCell ref="A20:F20"/>
    <mergeCell ref="G20:K20"/>
    <mergeCell ref="G4:J4"/>
    <mergeCell ref="A1:K1"/>
    <mergeCell ref="A2:K2"/>
    <mergeCell ref="K4:K6"/>
    <mergeCell ref="A4:A6"/>
  </mergeCells>
  <phoneticPr fontId="0" type="noConversion"/>
  <printOptions horizontalCentered="1"/>
  <pageMargins left="0.59055118110236227" right="0.59055118110236227" top="0.78740157480314965" bottom="0.59055118110236227" header="0.59055118110236227" footer="0.59055118110236227"/>
  <pageSetup paperSize="9" scale="93" orientation="landscape" r:id="rId1"/>
  <headerFooter alignWithMargins="0">
    <oddHeader>&amp;L&amp;8PCBS: Energy Tables 2015&amp;R&amp;"Simplified Arabic,Regular"&amp;8&amp;K00+000ل&amp;K000000PCBS: جداول الطاقة 2015</oddHeader>
    <oddFooter>&amp;C&amp;P</oddFooter>
  </headerFooter>
</worksheet>
</file>

<file path=xl/worksheets/sheet10.xml><?xml version="1.0" encoding="utf-8"?>
<worksheet xmlns="http://schemas.openxmlformats.org/spreadsheetml/2006/main" xmlns:r="http://schemas.openxmlformats.org/officeDocument/2006/relationships">
  <dimension ref="A1:M40"/>
  <sheetViews>
    <sheetView rightToLeft="1" view="pageBreakPreview" zoomScaleNormal="100" zoomScaleSheetLayoutView="100" workbookViewId="0">
      <selection activeCell="Q15" sqref="Q15"/>
    </sheetView>
  </sheetViews>
  <sheetFormatPr defaultRowHeight="15" customHeight="1"/>
  <cols>
    <col min="1" max="1" width="26.85546875" style="110" customWidth="1"/>
    <col min="2" max="2" width="12.7109375" style="110" customWidth="1"/>
    <col min="3" max="4" width="11.5703125" style="110" customWidth="1"/>
    <col min="5" max="5" width="9.85546875" style="110" customWidth="1"/>
    <col min="6" max="6" width="12.28515625" style="110" customWidth="1"/>
    <col min="7" max="7" width="31.42578125" style="110" customWidth="1"/>
    <col min="8" max="16384" width="9.140625" style="110"/>
  </cols>
  <sheetData>
    <row r="1" spans="1:13" s="109" customFormat="1" ht="21" customHeight="1">
      <c r="A1" s="419" t="s">
        <v>173</v>
      </c>
      <c r="B1" s="419"/>
      <c r="C1" s="419"/>
      <c r="D1" s="419"/>
      <c r="E1" s="419"/>
      <c r="F1" s="419"/>
      <c r="G1" s="419"/>
    </row>
    <row r="2" spans="1:13" ht="15.95" customHeight="1">
      <c r="A2" s="405" t="s">
        <v>175</v>
      </c>
      <c r="B2" s="405"/>
      <c r="C2" s="405"/>
      <c r="D2" s="405"/>
      <c r="E2" s="405"/>
      <c r="F2" s="405"/>
      <c r="G2" s="405"/>
    </row>
    <row r="3" spans="1:13" ht="6" customHeight="1">
      <c r="A3" s="111"/>
      <c r="B3" s="111"/>
      <c r="C3" s="111"/>
      <c r="D3" s="112"/>
      <c r="E3" s="113"/>
      <c r="F3" s="113"/>
      <c r="G3" s="114"/>
    </row>
    <row r="4" spans="1:13" s="118" customFormat="1" ht="15.95" customHeight="1">
      <c r="A4" s="406" t="s">
        <v>129</v>
      </c>
      <c r="B4" s="115" t="s">
        <v>63</v>
      </c>
      <c r="C4" s="116"/>
      <c r="D4" s="117"/>
      <c r="E4" s="117"/>
      <c r="F4" s="154" t="s">
        <v>4</v>
      </c>
      <c r="G4" s="409" t="s">
        <v>1</v>
      </c>
    </row>
    <row r="5" spans="1:13" s="121" customFormat="1" ht="15.75" customHeight="1">
      <c r="A5" s="407"/>
      <c r="B5" s="40" t="s">
        <v>77</v>
      </c>
      <c r="C5" s="120" t="s">
        <v>66</v>
      </c>
      <c r="D5" s="119" t="s">
        <v>67</v>
      </c>
      <c r="E5" s="119" t="s">
        <v>125</v>
      </c>
      <c r="F5" s="120" t="s">
        <v>68</v>
      </c>
      <c r="G5" s="410"/>
    </row>
    <row r="6" spans="1:13" s="121" customFormat="1" ht="42" customHeight="1">
      <c r="A6" s="408"/>
      <c r="B6" s="42" t="s">
        <v>78</v>
      </c>
      <c r="C6" s="123" t="s">
        <v>26</v>
      </c>
      <c r="D6" s="122" t="s">
        <v>27</v>
      </c>
      <c r="E6" s="122" t="s">
        <v>126</v>
      </c>
      <c r="F6" s="122" t="s">
        <v>28</v>
      </c>
      <c r="G6" s="411"/>
    </row>
    <row r="7" spans="1:13" s="127" customFormat="1" ht="15.95" customHeight="1">
      <c r="A7" s="124" t="s">
        <v>41</v>
      </c>
      <c r="B7" s="125">
        <v>64</v>
      </c>
      <c r="C7" s="125">
        <v>5.61</v>
      </c>
      <c r="D7" s="125">
        <v>6.166666666666667</v>
      </c>
      <c r="E7" s="125">
        <v>6.05</v>
      </c>
      <c r="F7" s="125">
        <v>5.61</v>
      </c>
      <c r="G7" s="126" t="s">
        <v>24</v>
      </c>
      <c r="H7" s="145"/>
      <c r="I7" s="145"/>
      <c r="J7" s="145"/>
      <c r="K7" s="145"/>
      <c r="L7" s="145"/>
      <c r="M7" s="145"/>
    </row>
    <row r="8" spans="1:13" s="127" customFormat="1" ht="15.95" customHeight="1">
      <c r="A8" s="124" t="s">
        <v>32</v>
      </c>
      <c r="B8" s="125">
        <v>60</v>
      </c>
      <c r="C8" s="125">
        <v>5.31</v>
      </c>
      <c r="D8" s="125">
        <v>6.166666666666667</v>
      </c>
      <c r="E8" s="125">
        <v>5.8499999999999988</v>
      </c>
      <c r="F8" s="125">
        <v>5.31</v>
      </c>
      <c r="G8" s="126" t="s">
        <v>13</v>
      </c>
      <c r="H8" s="145"/>
      <c r="I8" s="145"/>
      <c r="J8" s="145"/>
      <c r="K8" s="145"/>
      <c r="L8" s="145"/>
      <c r="M8" s="145"/>
    </row>
    <row r="9" spans="1:13" s="127" customFormat="1" ht="15.95" customHeight="1">
      <c r="A9" s="124" t="s">
        <v>33</v>
      </c>
      <c r="B9" s="125">
        <v>63</v>
      </c>
      <c r="C9" s="125">
        <v>5.69</v>
      </c>
      <c r="D9" s="125">
        <v>6.166666666666667</v>
      </c>
      <c r="E9" s="125">
        <v>6.23</v>
      </c>
      <c r="F9" s="125">
        <v>5.69</v>
      </c>
      <c r="G9" s="126" t="s">
        <v>14</v>
      </c>
      <c r="H9" s="145"/>
      <c r="I9" s="145"/>
      <c r="J9" s="145"/>
      <c r="K9" s="145"/>
      <c r="L9" s="145"/>
      <c r="M9" s="145"/>
    </row>
    <row r="10" spans="1:13" s="127" customFormat="1" ht="15.95" customHeight="1">
      <c r="A10" s="124" t="s">
        <v>34</v>
      </c>
      <c r="B10" s="125">
        <v>62.5</v>
      </c>
      <c r="C10" s="125">
        <v>5.54</v>
      </c>
      <c r="D10" s="125">
        <v>6.166666666666667</v>
      </c>
      <c r="E10" s="125">
        <v>6.29</v>
      </c>
      <c r="F10" s="125">
        <v>5.54</v>
      </c>
      <c r="G10" s="126" t="s">
        <v>15</v>
      </c>
      <c r="H10" s="145"/>
      <c r="I10" s="145"/>
      <c r="J10" s="145"/>
      <c r="K10" s="145"/>
      <c r="L10" s="145"/>
      <c r="M10" s="145"/>
    </row>
    <row r="11" spans="1:13" s="127" customFormat="1" ht="15.95" customHeight="1">
      <c r="A11" s="124" t="s">
        <v>35</v>
      </c>
      <c r="B11" s="125">
        <v>58.333333333333336</v>
      </c>
      <c r="C11" s="125">
        <v>5.65</v>
      </c>
      <c r="D11" s="125">
        <v>6.166666666666667</v>
      </c>
      <c r="E11" s="125">
        <v>6.4000000000000012</v>
      </c>
      <c r="F11" s="125">
        <v>5.65</v>
      </c>
      <c r="G11" s="126" t="s">
        <v>16</v>
      </c>
      <c r="H11" s="145"/>
      <c r="I11" s="145"/>
      <c r="J11" s="145"/>
      <c r="K11" s="145"/>
      <c r="L11" s="145"/>
      <c r="M11" s="145"/>
    </row>
    <row r="12" spans="1:13" s="127" customFormat="1" ht="15.95" customHeight="1">
      <c r="A12" s="124" t="s">
        <v>42</v>
      </c>
      <c r="B12" s="125">
        <v>57.666666666666664</v>
      </c>
      <c r="C12" s="125">
        <v>5.66</v>
      </c>
      <c r="D12" s="125">
        <v>6.166666666666667</v>
      </c>
      <c r="E12" s="125">
        <v>6.41</v>
      </c>
      <c r="F12" s="125">
        <v>5.66</v>
      </c>
      <c r="G12" s="126" t="s">
        <v>17</v>
      </c>
      <c r="H12" s="145"/>
      <c r="I12" s="145"/>
      <c r="J12" s="145"/>
      <c r="K12" s="145"/>
      <c r="L12" s="145"/>
      <c r="M12" s="145"/>
    </row>
    <row r="13" spans="1:13" s="127" customFormat="1" ht="15.95" customHeight="1">
      <c r="A13" s="124" t="s">
        <v>37</v>
      </c>
      <c r="B13" s="125">
        <v>53</v>
      </c>
      <c r="C13" s="125">
        <v>5.57</v>
      </c>
      <c r="D13" s="125">
        <v>6.333333333333333</v>
      </c>
      <c r="E13" s="125">
        <v>6.41</v>
      </c>
      <c r="F13" s="125">
        <v>5.57</v>
      </c>
      <c r="G13" s="126" t="s">
        <v>18</v>
      </c>
      <c r="H13" s="145"/>
      <c r="I13" s="145"/>
      <c r="J13" s="145"/>
      <c r="K13" s="145"/>
      <c r="L13" s="145"/>
      <c r="M13" s="145"/>
    </row>
    <row r="14" spans="1:13" s="127" customFormat="1" ht="15.95" customHeight="1">
      <c r="A14" s="124" t="s">
        <v>38</v>
      </c>
      <c r="B14" s="125">
        <v>51.666666666666664</v>
      </c>
      <c r="C14" s="125">
        <v>5.28</v>
      </c>
      <c r="D14" s="125">
        <v>6.333333333333333</v>
      </c>
      <c r="E14" s="125">
        <v>6.169999999999999</v>
      </c>
      <c r="F14" s="125">
        <v>5.28</v>
      </c>
      <c r="G14" s="126" t="s">
        <v>19</v>
      </c>
      <c r="H14" s="145"/>
      <c r="I14" s="145"/>
      <c r="J14" s="145"/>
      <c r="K14" s="145"/>
      <c r="L14" s="145"/>
      <c r="M14" s="145"/>
    </row>
    <row r="15" spans="1:13" s="127" customFormat="1" ht="15.95" customHeight="1">
      <c r="A15" s="124" t="s">
        <v>39</v>
      </c>
      <c r="B15" s="125">
        <v>52.333333333333336</v>
      </c>
      <c r="C15" s="125">
        <v>5.18</v>
      </c>
      <c r="D15" s="125">
        <v>6.333333333333333</v>
      </c>
      <c r="E15" s="125">
        <v>5.89</v>
      </c>
      <c r="F15" s="125">
        <v>5.18</v>
      </c>
      <c r="G15" s="126" t="s">
        <v>20</v>
      </c>
      <c r="H15" s="145"/>
      <c r="I15" s="145"/>
      <c r="J15" s="145"/>
      <c r="K15" s="145"/>
      <c r="L15" s="145"/>
      <c r="M15" s="145"/>
    </row>
    <row r="16" spans="1:13" s="127" customFormat="1" ht="15.95" customHeight="1">
      <c r="A16" s="124" t="s">
        <v>43</v>
      </c>
      <c r="B16" s="125">
        <v>51</v>
      </c>
      <c r="C16" s="125">
        <v>5.21</v>
      </c>
      <c r="D16" s="125">
        <v>6.333333333333333</v>
      </c>
      <c r="E16" s="125">
        <v>5.89</v>
      </c>
      <c r="F16" s="125">
        <v>5.21</v>
      </c>
      <c r="G16" s="126" t="s">
        <v>21</v>
      </c>
      <c r="H16" s="145"/>
      <c r="I16" s="145"/>
      <c r="J16" s="145"/>
      <c r="K16" s="145"/>
      <c r="L16" s="145"/>
      <c r="M16" s="145"/>
    </row>
    <row r="17" spans="1:13" s="127" customFormat="1" ht="15.95" customHeight="1">
      <c r="A17" s="124" t="s">
        <v>44</v>
      </c>
      <c r="B17" s="125">
        <v>51</v>
      </c>
      <c r="C17" s="125">
        <v>5.13</v>
      </c>
      <c r="D17" s="125">
        <v>6.333333333333333</v>
      </c>
      <c r="E17" s="125">
        <v>5.84</v>
      </c>
      <c r="F17" s="125">
        <v>5.13</v>
      </c>
      <c r="G17" s="126" t="s">
        <v>22</v>
      </c>
      <c r="H17" s="145"/>
      <c r="I17" s="145"/>
      <c r="J17" s="145"/>
      <c r="K17" s="145"/>
      <c r="L17" s="145"/>
      <c r="M17" s="145"/>
    </row>
    <row r="18" spans="1:13" s="127" customFormat="1" ht="15.95" customHeight="1">
      <c r="A18" s="124" t="s">
        <v>45</v>
      </c>
      <c r="B18" s="125">
        <v>51.833333333333336</v>
      </c>
      <c r="C18" s="125">
        <v>5.0999999999999996</v>
      </c>
      <c r="D18" s="125">
        <v>6.333333333333333</v>
      </c>
      <c r="E18" s="125">
        <v>5.87</v>
      </c>
      <c r="F18" s="125">
        <v>5.0999999999999996</v>
      </c>
      <c r="G18" s="126" t="s">
        <v>23</v>
      </c>
      <c r="H18" s="145"/>
      <c r="I18" s="145"/>
      <c r="J18" s="145"/>
      <c r="K18" s="145"/>
      <c r="L18" s="145"/>
      <c r="M18" s="145"/>
    </row>
    <row r="19" spans="1:13" s="118" customFormat="1" ht="15.95" customHeight="1">
      <c r="A19" s="128" t="s">
        <v>46</v>
      </c>
      <c r="B19" s="129">
        <f t="shared" ref="B19:F19" si="0">AVERAGE(B7:B18)</f>
        <v>56.361111111111114</v>
      </c>
      <c r="C19" s="129">
        <f t="shared" si="0"/>
        <v>5.4108333333333327</v>
      </c>
      <c r="D19" s="129">
        <f t="shared" si="0"/>
        <v>6.25</v>
      </c>
      <c r="E19" s="129">
        <f t="shared" si="0"/>
        <v>6.1083333333333343</v>
      </c>
      <c r="F19" s="129">
        <f t="shared" si="0"/>
        <v>5.4108333333333327</v>
      </c>
      <c r="G19" s="160" t="s">
        <v>5</v>
      </c>
    </row>
    <row r="20" spans="1:13" s="118" customFormat="1" ht="15.95" customHeight="1">
      <c r="A20" s="391" t="s">
        <v>82</v>
      </c>
      <c r="B20" s="391"/>
      <c r="C20" s="391"/>
      <c r="D20" s="391"/>
      <c r="E20" s="318" t="s">
        <v>103</v>
      </c>
      <c r="F20" s="318"/>
      <c r="G20" s="318"/>
    </row>
    <row r="21" spans="1:13" s="131" customFormat="1" ht="31.5" customHeight="1">
      <c r="A21" s="412" t="s">
        <v>163</v>
      </c>
      <c r="B21" s="412"/>
      <c r="C21" s="412"/>
      <c r="D21" s="412"/>
      <c r="E21" s="413" t="s">
        <v>166</v>
      </c>
      <c r="F21" s="413"/>
      <c r="G21" s="413"/>
      <c r="H21" s="130"/>
      <c r="I21" s="130"/>
      <c r="J21" s="130"/>
    </row>
    <row r="22" spans="1:13" s="131" customFormat="1" ht="15" customHeight="1">
      <c r="A22" s="414"/>
      <c r="B22" s="415"/>
      <c r="C22" s="415"/>
      <c r="D22" s="415"/>
      <c r="E22" s="132"/>
      <c r="F22" s="132"/>
      <c r="G22" s="132"/>
      <c r="H22" s="132"/>
      <c r="I22" s="132"/>
      <c r="J22" s="132"/>
    </row>
    <row r="23" spans="1:13" s="131" customFormat="1" ht="15" customHeight="1">
      <c r="A23" s="416"/>
      <c r="B23" s="418"/>
      <c r="C23" s="418"/>
      <c r="D23" s="418"/>
      <c r="E23" s="418"/>
      <c r="F23" s="418"/>
      <c r="G23" s="418"/>
      <c r="H23" s="418"/>
      <c r="I23" s="418"/>
      <c r="J23" s="403"/>
    </row>
    <row r="24" spans="1:13" s="131" customFormat="1" ht="15" customHeight="1">
      <c r="A24" s="417"/>
      <c r="B24" s="133"/>
      <c r="C24" s="133"/>
      <c r="D24" s="133"/>
      <c r="E24" s="133"/>
      <c r="F24" s="178">
        <f>SUM(F7:F18)/12</f>
        <v>5.4108333333333327</v>
      </c>
      <c r="G24" s="133"/>
      <c r="H24" s="133"/>
      <c r="I24" s="134"/>
      <c r="J24" s="403"/>
    </row>
    <row r="25" spans="1:13" s="131" customFormat="1" ht="15" customHeight="1">
      <c r="A25" s="417"/>
      <c r="B25" s="135"/>
      <c r="C25" s="135"/>
      <c r="D25" s="135"/>
      <c r="E25" s="135"/>
      <c r="F25" s="135"/>
      <c r="G25" s="135"/>
      <c r="H25" s="135"/>
      <c r="I25" s="136"/>
      <c r="J25" s="403"/>
    </row>
    <row r="26" spans="1:13" s="131" customFormat="1" ht="15" customHeight="1">
      <c r="A26" s="137"/>
      <c r="B26" s="138"/>
      <c r="C26" s="138"/>
      <c r="D26" s="138"/>
      <c r="E26" s="138"/>
      <c r="F26" s="138"/>
      <c r="G26" s="138"/>
      <c r="H26" s="138"/>
      <c r="I26" s="138"/>
      <c r="J26" s="139"/>
    </row>
    <row r="27" spans="1:13" s="131" customFormat="1" ht="15" customHeight="1">
      <c r="A27" s="137"/>
      <c r="B27" s="138"/>
      <c r="C27" s="138"/>
      <c r="D27" s="138"/>
      <c r="E27" s="138"/>
      <c r="F27" s="138"/>
      <c r="G27" s="138"/>
      <c r="H27" s="138"/>
      <c r="I27" s="138"/>
      <c r="J27" s="139"/>
    </row>
    <row r="28" spans="1:13" s="131" customFormat="1" ht="15" customHeight="1">
      <c r="A28" s="137"/>
      <c r="B28" s="138"/>
      <c r="C28" s="138"/>
      <c r="D28" s="138"/>
      <c r="E28" s="138"/>
      <c r="F28" s="138"/>
      <c r="G28" s="138"/>
      <c r="H28" s="138"/>
      <c r="I28" s="138"/>
      <c r="J28" s="139"/>
    </row>
    <row r="29" spans="1:13" s="131" customFormat="1" ht="15" customHeight="1">
      <c r="A29" s="137"/>
      <c r="B29" s="138"/>
      <c r="C29" s="138"/>
      <c r="D29" s="138"/>
      <c r="E29" s="138"/>
      <c r="F29" s="138"/>
      <c r="G29" s="138"/>
      <c r="H29" s="138"/>
      <c r="I29" s="138"/>
      <c r="J29" s="139"/>
    </row>
    <row r="30" spans="1:13" s="131" customFormat="1" ht="15" customHeight="1">
      <c r="A30" s="137"/>
      <c r="B30" s="138"/>
      <c r="C30" s="138"/>
      <c r="D30" s="138"/>
      <c r="E30" s="138"/>
      <c r="F30" s="138"/>
      <c r="G30" s="138"/>
      <c r="H30" s="138"/>
      <c r="I30" s="138"/>
      <c r="J30" s="139"/>
    </row>
    <row r="31" spans="1:13" s="131" customFormat="1" ht="15" customHeight="1">
      <c r="A31" s="137"/>
      <c r="B31" s="138"/>
      <c r="C31" s="138"/>
      <c r="D31" s="138"/>
      <c r="E31" s="138"/>
      <c r="F31" s="138"/>
      <c r="G31" s="138"/>
      <c r="H31" s="138"/>
      <c r="I31" s="138"/>
      <c r="J31" s="139"/>
    </row>
    <row r="32" spans="1:13" s="131" customFormat="1" ht="15" customHeight="1">
      <c r="A32" s="137"/>
      <c r="B32" s="138"/>
      <c r="C32" s="138"/>
      <c r="D32" s="138"/>
      <c r="E32" s="138"/>
      <c r="F32" s="138"/>
      <c r="G32" s="138"/>
      <c r="H32" s="138"/>
      <c r="I32" s="138"/>
      <c r="J32" s="139"/>
    </row>
    <row r="33" spans="1:7" s="131" customFormat="1" ht="15" customHeight="1">
      <c r="A33" s="140"/>
      <c r="B33" s="141"/>
      <c r="C33" s="141"/>
      <c r="D33" s="141"/>
      <c r="E33" s="141"/>
      <c r="F33" s="141"/>
      <c r="G33" s="142"/>
    </row>
    <row r="34" spans="1:7" s="131" customFormat="1" ht="15" customHeight="1">
      <c r="A34" s="140"/>
      <c r="B34" s="141"/>
      <c r="C34" s="141"/>
      <c r="D34" s="141"/>
      <c r="E34" s="141"/>
      <c r="F34" s="141"/>
      <c r="G34" s="142"/>
    </row>
    <row r="35" spans="1:7" s="131" customFormat="1" ht="15" customHeight="1">
      <c r="A35" s="140"/>
      <c r="B35" s="141"/>
      <c r="C35" s="141"/>
      <c r="D35" s="141"/>
      <c r="E35" s="141"/>
      <c r="F35" s="141"/>
      <c r="G35" s="142"/>
    </row>
    <row r="36" spans="1:7" s="131" customFormat="1" ht="15" customHeight="1">
      <c r="A36" s="140"/>
      <c r="B36" s="141"/>
      <c r="C36" s="141"/>
      <c r="D36" s="141"/>
      <c r="E36" s="141"/>
      <c r="F36" s="141"/>
      <c r="G36" s="142"/>
    </row>
    <row r="37" spans="1:7" s="131" customFormat="1" ht="15" customHeight="1">
      <c r="A37" s="140"/>
      <c r="B37" s="141"/>
      <c r="C37" s="141"/>
      <c r="D37" s="141"/>
      <c r="E37" s="141"/>
      <c r="F37" s="141"/>
      <c r="G37" s="142"/>
    </row>
    <row r="38" spans="1:7" s="131" customFormat="1" ht="15" customHeight="1">
      <c r="A38" s="140"/>
      <c r="B38" s="141"/>
      <c r="C38" s="141"/>
      <c r="D38" s="141"/>
      <c r="E38" s="141"/>
      <c r="F38" s="141"/>
      <c r="G38" s="142"/>
    </row>
    <row r="39" spans="1:7" s="131" customFormat="1" ht="15" customHeight="1">
      <c r="A39" s="140"/>
      <c r="B39" s="141"/>
      <c r="C39" s="141"/>
      <c r="D39" s="141"/>
      <c r="E39" s="141"/>
      <c r="F39" s="141"/>
      <c r="G39" s="142"/>
    </row>
    <row r="40" spans="1:7" s="131" customFormat="1" ht="15" customHeight="1">
      <c r="A40" s="140"/>
      <c r="B40" s="143"/>
      <c r="C40" s="143"/>
      <c r="D40" s="143"/>
      <c r="E40" s="143"/>
      <c r="F40" s="143"/>
      <c r="G40" s="142"/>
    </row>
  </sheetData>
  <mergeCells count="12">
    <mergeCell ref="J23:J25"/>
    <mergeCell ref="A1:G1"/>
    <mergeCell ref="A2:G2"/>
    <mergeCell ref="A4:A6"/>
    <mergeCell ref="G4:G6"/>
    <mergeCell ref="A21:D21"/>
    <mergeCell ref="E21:G21"/>
    <mergeCell ref="A22:D22"/>
    <mergeCell ref="A23:A25"/>
    <mergeCell ref="B23:I23"/>
    <mergeCell ref="A20:D20"/>
    <mergeCell ref="E20:G20"/>
  </mergeCells>
  <printOptions horizontalCentered="1"/>
  <pageMargins left="0.59055118110236227" right="0.59055118110236227" top="0.78740157480314965" bottom="0.59055118110236227" header="0.59055118110236227" footer="0.59055118110236227"/>
  <pageSetup paperSize="9" orientation="landscape" r:id="rId1"/>
  <headerFooter differentOddEven="1" alignWithMargins="0">
    <oddHeader>&amp;L&amp;8PCBS: Energy Tables 2015&amp;R&amp;"Simplified Arabic,Regular"&amp;8&amp;K00+000ل&amp;K000000PCBS: جداول الطاقة 2015</oddHeader>
    <oddFooter>&amp;C&amp;P</oddFooter>
  </headerFooter>
</worksheet>
</file>

<file path=xl/worksheets/sheet11.xml><?xml version="1.0" encoding="utf-8"?>
<worksheet xmlns="http://schemas.openxmlformats.org/spreadsheetml/2006/main" xmlns:r="http://schemas.openxmlformats.org/officeDocument/2006/relationships">
  <dimension ref="A1:N31"/>
  <sheetViews>
    <sheetView tabSelected="1" view="pageBreakPreview" topLeftCell="A13" zoomScaleNormal="100" zoomScaleSheetLayoutView="100" workbookViewId="0">
      <selection activeCell="O9" sqref="O9"/>
    </sheetView>
  </sheetViews>
  <sheetFormatPr defaultRowHeight="12.75"/>
  <cols>
    <col min="1" max="1" width="17.28515625" customWidth="1"/>
    <col min="8" max="9" width="8.28515625" customWidth="1"/>
    <col min="11" max="11" width="8.5703125" customWidth="1"/>
    <col min="12" max="12" width="8.85546875" customWidth="1"/>
    <col min="14" max="14" width="15.85546875" customWidth="1"/>
  </cols>
  <sheetData>
    <row r="1" spans="1:14" ht="23.25">
      <c r="A1" s="420" t="s">
        <v>252</v>
      </c>
      <c r="B1" s="420"/>
      <c r="C1" s="420"/>
      <c r="D1" s="420"/>
      <c r="E1" s="420"/>
      <c r="F1" s="420"/>
      <c r="G1" s="420"/>
      <c r="H1" s="420"/>
      <c r="I1" s="420"/>
      <c r="J1" s="420"/>
      <c r="K1" s="420"/>
      <c r="L1" s="420"/>
      <c r="M1" s="420"/>
      <c r="N1" s="420"/>
    </row>
    <row r="2" spans="1:14" ht="15">
      <c r="A2" s="428" t="s">
        <v>253</v>
      </c>
      <c r="B2" s="428"/>
      <c r="C2" s="428"/>
      <c r="D2" s="428"/>
      <c r="E2" s="428"/>
      <c r="F2" s="428"/>
      <c r="G2" s="428"/>
      <c r="H2" s="428"/>
      <c r="I2" s="428"/>
      <c r="J2" s="428"/>
      <c r="K2" s="428"/>
      <c r="L2" s="428"/>
      <c r="M2" s="428"/>
      <c r="N2" s="428"/>
    </row>
    <row r="3" spans="1:14" ht="12.75" customHeight="1">
      <c r="A3" s="353" t="s">
        <v>178</v>
      </c>
      <c r="B3" s="429" t="s">
        <v>92</v>
      </c>
      <c r="C3" s="430" t="s">
        <v>179</v>
      </c>
      <c r="D3" s="431"/>
      <c r="E3" s="431"/>
      <c r="F3" s="431"/>
      <c r="G3" s="431"/>
      <c r="H3" s="432" t="s">
        <v>180</v>
      </c>
      <c r="I3" s="432"/>
      <c r="J3" s="432"/>
      <c r="K3" s="432"/>
      <c r="L3" s="432"/>
      <c r="M3" s="433"/>
      <c r="N3" s="434" t="s">
        <v>181</v>
      </c>
    </row>
    <row r="4" spans="1:14" ht="12.75" customHeight="1">
      <c r="A4" s="348"/>
      <c r="B4" s="348"/>
      <c r="C4" s="422" t="s">
        <v>254</v>
      </c>
      <c r="D4" s="422" t="s">
        <v>255</v>
      </c>
      <c r="E4" s="422" t="s">
        <v>256</v>
      </c>
      <c r="F4" s="422" t="s">
        <v>257</v>
      </c>
      <c r="G4" s="422" t="s">
        <v>258</v>
      </c>
      <c r="H4" s="422" t="s">
        <v>259</v>
      </c>
      <c r="I4" s="422" t="s">
        <v>260</v>
      </c>
      <c r="J4" s="422" t="s">
        <v>261</v>
      </c>
      <c r="K4" s="422" t="s">
        <v>262</v>
      </c>
      <c r="L4" s="422" t="s">
        <v>263</v>
      </c>
      <c r="M4" s="422" t="s">
        <v>264</v>
      </c>
      <c r="N4" s="435"/>
    </row>
    <row r="5" spans="1:14" ht="22.5" customHeight="1">
      <c r="A5" s="348"/>
      <c r="B5" s="348"/>
      <c r="C5" s="354"/>
      <c r="D5" s="348"/>
      <c r="E5" s="348" t="s">
        <v>193</v>
      </c>
      <c r="F5" s="348"/>
      <c r="G5" s="348" t="s">
        <v>193</v>
      </c>
      <c r="H5" s="348" t="s">
        <v>193</v>
      </c>
      <c r="I5" s="348"/>
      <c r="J5" s="348" t="s">
        <v>193</v>
      </c>
      <c r="K5" s="348"/>
      <c r="L5" s="348"/>
      <c r="M5" s="348"/>
      <c r="N5" s="435"/>
    </row>
    <row r="6" spans="1:14" ht="12.75" customHeight="1">
      <c r="A6" s="348"/>
      <c r="B6" s="348"/>
      <c r="C6" s="359" t="s">
        <v>265</v>
      </c>
      <c r="D6" s="359" t="s">
        <v>266</v>
      </c>
      <c r="E6" s="359" t="s">
        <v>196</v>
      </c>
      <c r="F6" s="359" t="s">
        <v>267</v>
      </c>
      <c r="G6" s="359" t="s">
        <v>268</v>
      </c>
      <c r="H6" s="359" t="s">
        <v>269</v>
      </c>
      <c r="I6" s="359" t="s">
        <v>270</v>
      </c>
      <c r="J6" s="359" t="s">
        <v>271</v>
      </c>
      <c r="K6" s="359" t="s">
        <v>272</v>
      </c>
      <c r="L6" s="359" t="s">
        <v>273</v>
      </c>
      <c r="M6" s="359" t="s">
        <v>274</v>
      </c>
      <c r="N6" s="435"/>
    </row>
    <row r="7" spans="1:14" ht="12.75" customHeight="1">
      <c r="A7" s="349"/>
      <c r="B7" s="349"/>
      <c r="C7" s="360" t="s">
        <v>58</v>
      </c>
      <c r="D7" s="349" t="s">
        <v>58</v>
      </c>
      <c r="E7" s="349" t="s">
        <v>204</v>
      </c>
      <c r="F7" s="349" t="s">
        <v>205</v>
      </c>
      <c r="G7" s="355"/>
      <c r="H7" s="349"/>
      <c r="I7" s="360"/>
      <c r="J7" s="355"/>
      <c r="K7" s="349" t="s">
        <v>205</v>
      </c>
      <c r="L7" s="360"/>
      <c r="M7" s="349" t="s">
        <v>205</v>
      </c>
      <c r="N7" s="436"/>
    </row>
    <row r="8" spans="1:14" ht="24">
      <c r="A8" s="243" t="s">
        <v>206</v>
      </c>
      <c r="B8" s="282">
        <f t="shared" ref="B8:B21" si="0">SUM(C8:M8)</f>
        <v>11421.88</v>
      </c>
      <c r="C8" s="283">
        <f>ROUND(0.0036*'[8]physical unit'!B8,2)</f>
        <v>5393.15</v>
      </c>
      <c r="D8" s="283">
        <f>ROUND('[8]physical unit'!C8*0.01561,2)</f>
        <v>5357.98</v>
      </c>
      <c r="E8" s="283">
        <f>ROUND('[8]physical unit'!D8*0.01675,2)</f>
        <v>637.45000000000005</v>
      </c>
      <c r="F8" s="256">
        <v>0</v>
      </c>
      <c r="G8" s="256">
        <v>0</v>
      </c>
      <c r="H8" s="256">
        <v>0</v>
      </c>
      <c r="I8" s="256">
        <v>0</v>
      </c>
      <c r="J8" s="256">
        <v>0</v>
      </c>
      <c r="K8" s="256">
        <v>0</v>
      </c>
      <c r="L8" s="256">
        <v>0</v>
      </c>
      <c r="M8" s="284">
        <f>ROUND('[8]physical unit'!L8*0.0036,2)</f>
        <v>33.299999999999997</v>
      </c>
      <c r="N8" s="285" t="s">
        <v>207</v>
      </c>
    </row>
    <row r="9" spans="1:14" ht="20.25">
      <c r="A9" s="249" t="s">
        <v>208</v>
      </c>
      <c r="B9" s="286">
        <f t="shared" si="0"/>
        <v>63484.66</v>
      </c>
      <c r="C9" s="256">
        <v>0</v>
      </c>
      <c r="D9" s="287">
        <f>ROUND('[8]physical unit'!C9*0.01561,2)</f>
        <v>435.78</v>
      </c>
      <c r="E9" s="256">
        <v>0</v>
      </c>
      <c r="F9" s="287">
        <f>ROUND('[8]physical unit'!E9*0.0402,2)</f>
        <v>469.54</v>
      </c>
      <c r="G9" s="287">
        <f>ROUND('[8]physical unit'!F9*0.0402,2)</f>
        <v>43.54</v>
      </c>
      <c r="H9" s="287">
        <f>ROUND('[8]physical unit'!G9*0.0473,2)</f>
        <v>7909.17</v>
      </c>
      <c r="I9" s="287">
        <f>ROUND(0.03838*'[8]physical unit'!H9,2)</f>
        <v>136.47999999999999</v>
      </c>
      <c r="J9" s="287">
        <f>ROUND('[8]physical unit'!I9*0.0441*0.81,2)</f>
        <v>66.73</v>
      </c>
      <c r="K9" s="287">
        <f>ROUND('[8]physical unit'!J9*0.0443*0.74,2)</f>
        <v>9580.77</v>
      </c>
      <c r="L9" s="287">
        <f>ROUND('[8]physical unit'!K9*0.043*0.87,2)</f>
        <v>25355.53</v>
      </c>
      <c r="M9" s="288">
        <f>ROUND('[8]physical unit'!L9*0.0036,2)</f>
        <v>19487.12</v>
      </c>
      <c r="N9" s="289" t="s">
        <v>209</v>
      </c>
    </row>
    <row r="10" spans="1:14" ht="20.25">
      <c r="A10" s="249" t="s">
        <v>210</v>
      </c>
      <c r="B10" s="286">
        <f t="shared" si="0"/>
        <v>-23</v>
      </c>
      <c r="C10" s="256">
        <v>0</v>
      </c>
      <c r="D10" s="287">
        <f>ROUND('[8]physical unit'!C10*0.01561,2)</f>
        <v>-17.329999999999998</v>
      </c>
      <c r="E10" s="256">
        <v>0</v>
      </c>
      <c r="F10" s="256">
        <v>0</v>
      </c>
      <c r="G10" s="287">
        <f>ROUND('[8]physical unit'!F10*0.0402,2)</f>
        <v>-5.67</v>
      </c>
      <c r="H10" s="256">
        <v>0</v>
      </c>
      <c r="I10" s="256">
        <v>0</v>
      </c>
      <c r="J10" s="256">
        <v>0</v>
      </c>
      <c r="K10" s="256">
        <v>0</v>
      </c>
      <c r="L10" s="256">
        <v>0</v>
      </c>
      <c r="M10" s="290">
        <v>0</v>
      </c>
      <c r="N10" s="289" t="s">
        <v>211</v>
      </c>
    </row>
    <row r="11" spans="1:14" ht="20.25">
      <c r="A11" s="249" t="s">
        <v>212</v>
      </c>
      <c r="B11" s="291">
        <f t="shared" si="0"/>
        <v>0</v>
      </c>
      <c r="C11" s="256">
        <v>0</v>
      </c>
      <c r="D11" s="256">
        <v>0</v>
      </c>
      <c r="E11" s="256">
        <v>0</v>
      </c>
      <c r="F11" s="256">
        <v>0</v>
      </c>
      <c r="G11" s="256">
        <v>0</v>
      </c>
      <c r="H11" s="256">
        <v>0</v>
      </c>
      <c r="I11" s="256">
        <v>0</v>
      </c>
      <c r="J11" s="256">
        <v>0</v>
      </c>
      <c r="K11" s="256">
        <v>0</v>
      </c>
      <c r="L11" s="256">
        <v>0</v>
      </c>
      <c r="M11" s="290">
        <v>0</v>
      </c>
      <c r="N11" s="289" t="s">
        <v>213</v>
      </c>
    </row>
    <row r="12" spans="1:14" ht="24" customHeight="1">
      <c r="A12" s="258" t="s">
        <v>214</v>
      </c>
      <c r="B12" s="286">
        <f t="shared" ref="B12:M12" si="1">B11+B10+B9+B8</f>
        <v>74883.540000000008</v>
      </c>
      <c r="C12" s="292">
        <f t="shared" si="1"/>
        <v>5393.15</v>
      </c>
      <c r="D12" s="292">
        <f t="shared" si="1"/>
        <v>5776.4299999999994</v>
      </c>
      <c r="E12" s="292">
        <f t="shared" si="1"/>
        <v>637.45000000000005</v>
      </c>
      <c r="F12" s="292">
        <f t="shared" si="1"/>
        <v>469.54</v>
      </c>
      <c r="G12" s="292">
        <f t="shared" si="1"/>
        <v>37.869999999999997</v>
      </c>
      <c r="H12" s="292">
        <f t="shared" si="1"/>
        <v>7909.17</v>
      </c>
      <c r="I12" s="292">
        <f t="shared" si="1"/>
        <v>136.47999999999999</v>
      </c>
      <c r="J12" s="292">
        <f>ROUND(J11+J10+J9+J8,2)</f>
        <v>66.73</v>
      </c>
      <c r="K12" s="292">
        <f t="shared" si="1"/>
        <v>9580.77</v>
      </c>
      <c r="L12" s="292">
        <f t="shared" si="1"/>
        <v>25355.53</v>
      </c>
      <c r="M12" s="293">
        <f t="shared" si="1"/>
        <v>19520.419999999998</v>
      </c>
      <c r="N12" s="294" t="s">
        <v>215</v>
      </c>
    </row>
    <row r="13" spans="1:14" ht="24" customHeight="1">
      <c r="A13" s="249" t="s">
        <v>216</v>
      </c>
      <c r="B13" s="295">
        <v>0</v>
      </c>
      <c r="C13" s="296">
        <v>0</v>
      </c>
      <c r="D13" s="296">
        <v>0</v>
      </c>
      <c r="E13" s="296">
        <f>E12-E17-E16+E14</f>
        <v>0</v>
      </c>
      <c r="F13" s="296">
        <f>F12-F17-F16+F14</f>
        <v>0</v>
      </c>
      <c r="G13" s="296">
        <f>G12-G17-G16+G14</f>
        <v>0</v>
      </c>
      <c r="H13" s="296">
        <f>H12-H17-H16+H14</f>
        <v>0</v>
      </c>
      <c r="I13" s="296">
        <v>0</v>
      </c>
      <c r="J13" s="296">
        <v>0</v>
      </c>
      <c r="K13" s="297">
        <v>0</v>
      </c>
      <c r="L13" s="296">
        <v>0</v>
      </c>
      <c r="M13" s="296">
        <v>0</v>
      </c>
      <c r="N13" s="289" t="s">
        <v>217</v>
      </c>
    </row>
    <row r="14" spans="1:14" ht="20.25">
      <c r="A14" s="258" t="s">
        <v>218</v>
      </c>
      <c r="B14" s="286">
        <f>SUM(C14:M14)</f>
        <v>-2562.0100000000002</v>
      </c>
      <c r="C14" s="298">
        <v>0</v>
      </c>
      <c r="D14" s="298">
        <v>0</v>
      </c>
      <c r="E14" s="298">
        <v>0</v>
      </c>
      <c r="F14" s="298">
        <v>0</v>
      </c>
      <c r="G14" s="298">
        <v>0</v>
      </c>
      <c r="H14" s="298">
        <v>0</v>
      </c>
      <c r="I14" s="298">
        <v>0</v>
      </c>
      <c r="J14" s="298">
        <v>0</v>
      </c>
      <c r="K14" s="292">
        <f>K15</f>
        <v>-442.66</v>
      </c>
      <c r="L14" s="292">
        <f>L15</f>
        <v>-3938.67</v>
      </c>
      <c r="M14" s="293">
        <f>M15</f>
        <v>1819.32</v>
      </c>
      <c r="N14" s="294" t="s">
        <v>219</v>
      </c>
    </row>
    <row r="15" spans="1:14" ht="20.25">
      <c r="A15" s="249" t="s">
        <v>220</v>
      </c>
      <c r="B15" s="286">
        <f>SUM(C15:M15)</f>
        <v>-2562.0100000000002</v>
      </c>
      <c r="C15" s="256">
        <v>0</v>
      </c>
      <c r="D15" s="256">
        <v>0</v>
      </c>
      <c r="E15" s="256">
        <v>0</v>
      </c>
      <c r="F15" s="256">
        <v>0</v>
      </c>
      <c r="G15" s="256">
        <v>0</v>
      </c>
      <c r="H15" s="256">
        <v>0</v>
      </c>
      <c r="I15" s="298">
        <v>0</v>
      </c>
      <c r="J15" s="256">
        <v>0</v>
      </c>
      <c r="K15" s="287">
        <f>ROUND('[8]physical unit'!J15*0.0443*0.74,2)</f>
        <v>-442.66</v>
      </c>
      <c r="L15" s="287">
        <f>ROUND('[8]physical unit'!K15*0.043*0.87,2)</f>
        <v>-3938.67</v>
      </c>
      <c r="M15" s="288">
        <f>ROUND('[8]physical unit'!L15*0.0036,2)</f>
        <v>1819.32</v>
      </c>
      <c r="N15" s="289" t="s">
        <v>221</v>
      </c>
    </row>
    <row r="16" spans="1:14" ht="20.25">
      <c r="A16" s="249" t="s">
        <v>222</v>
      </c>
      <c r="B16" s="286">
        <f t="shared" si="0"/>
        <v>5399.7699999999995</v>
      </c>
      <c r="C16" s="287">
        <v>2696.58</v>
      </c>
      <c r="D16" s="256">
        <v>0</v>
      </c>
      <c r="E16" s="256">
        <v>0</v>
      </c>
      <c r="F16" s="256">
        <v>0</v>
      </c>
      <c r="G16" s="256">
        <v>0</v>
      </c>
      <c r="H16" s="256">
        <v>0</v>
      </c>
      <c r="I16" s="299">
        <v>0.04</v>
      </c>
      <c r="J16" s="287">
        <f>ROUND('[8]physical unit'!I16*0.0441*0.81,2)</f>
        <v>0.18</v>
      </c>
      <c r="K16" s="287">
        <f>ROUND('[8]physical unit'!J16*0.0443*0.74,2)</f>
        <v>73.66</v>
      </c>
      <c r="L16" s="287">
        <f>ROUND('[8]physical unit'!K16*0.043*0.87,2)</f>
        <v>68.540000000000006</v>
      </c>
      <c r="M16" s="288">
        <f>ROUND('[8]physical unit'!L16*0.0036,2)</f>
        <v>2560.77</v>
      </c>
      <c r="N16" s="265" t="s">
        <v>223</v>
      </c>
    </row>
    <row r="17" spans="1:14" ht="24">
      <c r="A17" s="258" t="s">
        <v>224</v>
      </c>
      <c r="B17" s="286">
        <f t="shared" ref="B17:M17" si="2">B18+B26</f>
        <v>66921.760000000009</v>
      </c>
      <c r="C17" s="292">
        <f t="shared" si="2"/>
        <v>2696.57</v>
      </c>
      <c r="D17" s="292">
        <f t="shared" si="2"/>
        <v>5776.43</v>
      </c>
      <c r="E17" s="292">
        <f t="shared" si="2"/>
        <v>637.45000000000005</v>
      </c>
      <c r="F17" s="292">
        <f t="shared" si="2"/>
        <v>469.54</v>
      </c>
      <c r="G17" s="292">
        <f t="shared" si="2"/>
        <v>37.869999999999997</v>
      </c>
      <c r="H17" s="292">
        <f t="shared" si="2"/>
        <v>7909.17</v>
      </c>
      <c r="I17" s="292">
        <f t="shared" si="2"/>
        <v>136.44</v>
      </c>
      <c r="J17" s="292">
        <f t="shared" si="2"/>
        <v>66.55</v>
      </c>
      <c r="K17" s="292">
        <f t="shared" si="2"/>
        <v>9064.4499999999989</v>
      </c>
      <c r="L17" s="292">
        <f t="shared" si="2"/>
        <v>21348.32</v>
      </c>
      <c r="M17" s="293">
        <f t="shared" si="2"/>
        <v>18778.97</v>
      </c>
      <c r="N17" s="294" t="s">
        <v>225</v>
      </c>
    </row>
    <row r="18" spans="1:14" ht="40.5">
      <c r="A18" s="258" t="s">
        <v>226</v>
      </c>
      <c r="B18" s="286">
        <f t="shared" ref="B18:M18" si="3">B19+B20+B22</f>
        <v>66414.350000000006</v>
      </c>
      <c r="C18" s="292">
        <f t="shared" si="3"/>
        <v>2696.57</v>
      </c>
      <c r="D18" s="292">
        <f t="shared" si="3"/>
        <v>5776.43</v>
      </c>
      <c r="E18" s="292">
        <f t="shared" si="3"/>
        <v>637.45000000000005</v>
      </c>
      <c r="F18" s="256">
        <v>0</v>
      </c>
      <c r="G18" s="256">
        <v>0</v>
      </c>
      <c r="H18" s="292">
        <f t="shared" si="3"/>
        <v>7909.17</v>
      </c>
      <c r="I18" s="292">
        <f t="shared" si="3"/>
        <v>136.44</v>
      </c>
      <c r="J18" s="292">
        <f t="shared" si="3"/>
        <v>66.55</v>
      </c>
      <c r="K18" s="292">
        <f t="shared" si="3"/>
        <v>9064.4499999999989</v>
      </c>
      <c r="L18" s="292">
        <f t="shared" si="3"/>
        <v>21348.32</v>
      </c>
      <c r="M18" s="293">
        <f t="shared" si="3"/>
        <v>18778.97</v>
      </c>
      <c r="N18" s="294" t="s">
        <v>227</v>
      </c>
    </row>
    <row r="19" spans="1:14" ht="20.25">
      <c r="A19" s="249" t="s">
        <v>228</v>
      </c>
      <c r="B19" s="286">
        <f t="shared" si="0"/>
        <v>3467.35</v>
      </c>
      <c r="C19" s="256">
        <v>0</v>
      </c>
      <c r="D19" s="287">
        <f>ROUND('[8]physical unit'!C19*0.01561,2)</f>
        <v>76.27</v>
      </c>
      <c r="E19" s="287">
        <f>ROUND('[8]physical unit'!D19*0.01675,2)</f>
        <v>159.36000000000001</v>
      </c>
      <c r="F19" s="256">
        <v>0</v>
      </c>
      <c r="G19" s="256">
        <v>0</v>
      </c>
      <c r="H19" s="287">
        <f>ROUND('[8]physical unit'!G19*0.0473,2)</f>
        <v>399.45</v>
      </c>
      <c r="I19" s="287">
        <v>68.22</v>
      </c>
      <c r="J19" s="287">
        <f>ROUND('[8]physical unit'!I19*0.0441*0.81,2)</f>
        <v>7.43</v>
      </c>
      <c r="K19" s="287">
        <f>ROUND('[8]physical unit'!J19*0.0443*0.74,2)</f>
        <v>13.15</v>
      </c>
      <c r="L19" s="287">
        <f>ROUND('[8]physical unit'!K19*0.043*0.87,2)</f>
        <v>669.15</v>
      </c>
      <c r="M19" s="288">
        <f>ROUND('[8]physical unit'!L19*0.0036,2)</f>
        <v>2074.3200000000002</v>
      </c>
      <c r="N19" s="289" t="s">
        <v>229</v>
      </c>
    </row>
    <row r="20" spans="1:14" ht="20.25">
      <c r="A20" s="258" t="s">
        <v>230</v>
      </c>
      <c r="B20" s="286">
        <f t="shared" si="0"/>
        <v>28985.989999999998</v>
      </c>
      <c r="C20" s="256">
        <f t="shared" ref="C20:K20" si="4">C21</f>
        <v>0</v>
      </c>
      <c r="D20" s="256">
        <f t="shared" si="4"/>
        <v>0</v>
      </c>
      <c r="E20" s="256">
        <f t="shared" si="4"/>
        <v>0</v>
      </c>
      <c r="F20" s="256">
        <f t="shared" si="4"/>
        <v>0</v>
      </c>
      <c r="G20" s="256">
        <f t="shared" si="4"/>
        <v>0</v>
      </c>
      <c r="H20" s="292">
        <f t="shared" si="4"/>
        <v>229.64</v>
      </c>
      <c r="I20" s="256">
        <f t="shared" si="4"/>
        <v>0</v>
      </c>
      <c r="J20" s="256">
        <f t="shared" si="4"/>
        <v>0</v>
      </c>
      <c r="K20" s="292">
        <f t="shared" si="4"/>
        <v>8788.39</v>
      </c>
      <c r="L20" s="292">
        <f>L21</f>
        <v>19967.96</v>
      </c>
      <c r="M20" s="290">
        <f>M21</f>
        <v>0</v>
      </c>
      <c r="N20" s="294" t="s">
        <v>231</v>
      </c>
    </row>
    <row r="21" spans="1:14" ht="20.25">
      <c r="A21" s="249" t="s">
        <v>232</v>
      </c>
      <c r="B21" s="286">
        <f t="shared" si="0"/>
        <v>28985.989999999998</v>
      </c>
      <c r="C21" s="256">
        <v>0</v>
      </c>
      <c r="D21" s="256">
        <v>0</v>
      </c>
      <c r="E21" s="256">
        <v>0</v>
      </c>
      <c r="F21" s="256">
        <v>0</v>
      </c>
      <c r="G21" s="256">
        <v>0</v>
      </c>
      <c r="H21" s="287">
        <f>ROUND('[8]physical unit'!G21*0.0473,2)</f>
        <v>229.64</v>
      </c>
      <c r="I21" s="298">
        <v>0</v>
      </c>
      <c r="J21" s="256">
        <v>0</v>
      </c>
      <c r="K21" s="287">
        <v>8788.39</v>
      </c>
      <c r="L21" s="287">
        <f>ROUND('[8]physical unit'!K21*0.043*0.87,2)</f>
        <v>19967.96</v>
      </c>
      <c r="M21" s="290">
        <v>0</v>
      </c>
      <c r="N21" s="289" t="s">
        <v>233</v>
      </c>
    </row>
    <row r="22" spans="1:14" ht="40.5">
      <c r="A22" s="258" t="s">
        <v>234</v>
      </c>
      <c r="B22" s="286">
        <f t="shared" ref="B22:L22" si="5">B23+B24+B25</f>
        <v>33961.01</v>
      </c>
      <c r="C22" s="292">
        <f t="shared" si="5"/>
        <v>2696.57</v>
      </c>
      <c r="D22" s="292">
        <f t="shared" si="5"/>
        <v>5700.16</v>
      </c>
      <c r="E22" s="292">
        <f t="shared" si="5"/>
        <v>478.09</v>
      </c>
      <c r="F22" s="298">
        <v>0</v>
      </c>
      <c r="G22" s="298">
        <v>0</v>
      </c>
      <c r="H22" s="292">
        <f t="shared" si="5"/>
        <v>7280.08</v>
      </c>
      <c r="I22" s="292">
        <f t="shared" si="5"/>
        <v>68.22</v>
      </c>
      <c r="J22" s="292">
        <f>ROUND(J23+J24+J25,2)</f>
        <v>59.12</v>
      </c>
      <c r="K22" s="292">
        <f t="shared" si="5"/>
        <v>262.91000000000003</v>
      </c>
      <c r="L22" s="292">
        <f t="shared" si="5"/>
        <v>711.20999999999992</v>
      </c>
      <c r="M22" s="293">
        <f>M23+M24+M25</f>
        <v>16704.650000000001</v>
      </c>
      <c r="N22" s="294" t="s">
        <v>235</v>
      </c>
    </row>
    <row r="23" spans="1:14" ht="20.25">
      <c r="A23" s="249" t="s">
        <v>236</v>
      </c>
      <c r="B23" s="286">
        <f>SUM(C23:M23)</f>
        <v>27485.040000000001</v>
      </c>
      <c r="C23" s="287">
        <f>ROUND('[8]physical unit'!B23*0.0036,2)</f>
        <v>2696.57</v>
      </c>
      <c r="D23" s="287">
        <v>5675.79</v>
      </c>
      <c r="E23" s="287">
        <v>478.09</v>
      </c>
      <c r="F23" s="256">
        <v>0</v>
      </c>
      <c r="G23" s="256">
        <v>0</v>
      </c>
      <c r="H23" s="287">
        <v>6575.83</v>
      </c>
      <c r="I23" s="298">
        <v>0</v>
      </c>
      <c r="J23" s="287">
        <f>ROUND('[8]physical unit'!I23*0.0441*0.81,2)</f>
        <v>44.33</v>
      </c>
      <c r="K23" s="256">
        <v>0</v>
      </c>
      <c r="L23" s="287">
        <f>ROUND('[8]physical unit'!K23*0.043*0.87,2)</f>
        <v>229.14</v>
      </c>
      <c r="M23" s="288">
        <v>11785.29</v>
      </c>
      <c r="N23" s="300" t="s">
        <v>237</v>
      </c>
    </row>
    <row r="24" spans="1:14" ht="20.25">
      <c r="A24" s="249" t="s">
        <v>238</v>
      </c>
      <c r="B24" s="286">
        <f>SUM(C24:M24)</f>
        <v>828.68</v>
      </c>
      <c r="C24" s="256">
        <v>0</v>
      </c>
      <c r="D24" s="256">
        <f>ROUND('[8]physical unit'!C24*0.01561,2)</f>
        <v>0</v>
      </c>
      <c r="E24" s="256">
        <v>0</v>
      </c>
      <c r="F24" s="256">
        <v>0</v>
      </c>
      <c r="G24" s="256">
        <v>0</v>
      </c>
      <c r="H24" s="287">
        <f>ROUND('[8]physical unit'!G24*0.0473,2)</f>
        <v>142.09</v>
      </c>
      <c r="I24" s="298">
        <v>0</v>
      </c>
      <c r="J24" s="287">
        <f>ROUND('[8]physical unit'!I24*0.0441*0.81,2)</f>
        <v>1.39</v>
      </c>
      <c r="K24" s="287">
        <f>ROUND('[8]physical unit'!J24*0.0443*0.74,2)</f>
        <v>169.12</v>
      </c>
      <c r="L24" s="287">
        <f>ROUND('[8]physical unit'!K24*0.043*0.87,2)</f>
        <v>374.21</v>
      </c>
      <c r="M24" s="288">
        <f>ROUND('[8]physical unit'!L24*0.0036,2)</f>
        <v>141.87</v>
      </c>
      <c r="N24" s="300" t="s">
        <v>239</v>
      </c>
    </row>
    <row r="25" spans="1:14" ht="24">
      <c r="A25" s="249" t="s">
        <v>240</v>
      </c>
      <c r="B25" s="286">
        <f>SUM(C25:M25)</f>
        <v>5647.29</v>
      </c>
      <c r="C25" s="256">
        <v>0</v>
      </c>
      <c r="D25" s="287">
        <f>ROUND('[8]physical unit'!C25*0.01561,2)</f>
        <v>24.37</v>
      </c>
      <c r="E25" s="256">
        <v>0</v>
      </c>
      <c r="F25" s="256">
        <v>0</v>
      </c>
      <c r="G25" s="256">
        <v>0</v>
      </c>
      <c r="H25" s="287">
        <f>ROUND('[8]physical unit'!G25*0.0473,2)</f>
        <v>562.16</v>
      </c>
      <c r="I25" s="287">
        <v>68.22</v>
      </c>
      <c r="J25" s="287">
        <f>ROUND('[8]physical unit'!I25*0.0441*0.81,2)</f>
        <v>13.4</v>
      </c>
      <c r="K25" s="287">
        <f>ROUND('[8]physical unit'!J25*0.0443*0.74,2)</f>
        <v>93.79</v>
      </c>
      <c r="L25" s="287">
        <v>107.86</v>
      </c>
      <c r="M25" s="288">
        <f>ROUND('[8]physical unit'!L25*0.0036,2)</f>
        <v>4777.49</v>
      </c>
      <c r="N25" s="300" t="s">
        <v>241</v>
      </c>
    </row>
    <row r="26" spans="1:14" ht="40.5">
      <c r="A26" s="271" t="s">
        <v>242</v>
      </c>
      <c r="B26" s="301">
        <f>SUM(C26:M26)</f>
        <v>507.41</v>
      </c>
      <c r="C26" s="302">
        <v>0</v>
      </c>
      <c r="D26" s="302">
        <v>0</v>
      </c>
      <c r="E26" s="302">
        <v>0</v>
      </c>
      <c r="F26" s="303">
        <f>ROUND('[8]physical unit'!E26*0.0402,2)</f>
        <v>469.54</v>
      </c>
      <c r="G26" s="303">
        <f>ROUND('[8]physical unit'!F26*0.0402,2)</f>
        <v>37.869999999999997</v>
      </c>
      <c r="H26" s="302">
        <v>0</v>
      </c>
      <c r="I26" s="302">
        <v>0</v>
      </c>
      <c r="J26" s="302">
        <v>0</v>
      </c>
      <c r="K26" s="302">
        <v>0</v>
      </c>
      <c r="L26" s="302">
        <v>0</v>
      </c>
      <c r="M26" s="304">
        <v>0</v>
      </c>
      <c r="N26" s="305" t="s">
        <v>243</v>
      </c>
    </row>
    <row r="27" spans="1:14">
      <c r="A27" s="278" t="s">
        <v>70</v>
      </c>
      <c r="B27" s="287"/>
      <c r="C27" s="287"/>
      <c r="D27" s="287"/>
      <c r="E27" s="306"/>
      <c r="F27" s="287"/>
      <c r="G27" s="287"/>
      <c r="H27" s="287"/>
      <c r="I27" s="287"/>
      <c r="J27" s="287"/>
      <c r="K27" s="287"/>
      <c r="L27" s="287"/>
      <c r="N27" s="307" t="s">
        <v>50</v>
      </c>
    </row>
    <row r="28" spans="1:14">
      <c r="A28" s="280" t="s">
        <v>244</v>
      </c>
      <c r="B28" s="287"/>
      <c r="C28" s="287"/>
      <c r="D28" s="287"/>
      <c r="E28" s="306"/>
      <c r="F28" s="287"/>
      <c r="G28" s="287"/>
      <c r="H28" s="287"/>
      <c r="I28" s="287"/>
      <c r="J28" s="287"/>
      <c r="K28" s="287"/>
      <c r="L28" s="287"/>
      <c r="N28" s="292" t="s">
        <v>245</v>
      </c>
    </row>
    <row r="29" spans="1:14" ht="24" customHeight="1">
      <c r="A29" s="437" t="s">
        <v>246</v>
      </c>
      <c r="B29" s="437"/>
      <c r="C29" s="437"/>
      <c r="D29" s="437"/>
      <c r="E29" s="437"/>
      <c r="F29" s="437"/>
      <c r="G29" s="317" t="s">
        <v>247</v>
      </c>
      <c r="H29" s="317"/>
      <c r="I29" s="317"/>
      <c r="J29" s="317"/>
      <c r="K29" s="317"/>
      <c r="L29" s="317"/>
      <c r="M29" s="317"/>
      <c r="N29" s="317"/>
    </row>
    <row r="30" spans="1:14" ht="12.75" customHeight="1">
      <c r="A30" s="437" t="s">
        <v>248</v>
      </c>
      <c r="B30" s="437"/>
      <c r="C30" s="437"/>
      <c r="D30" s="437"/>
      <c r="E30" s="437"/>
      <c r="F30" s="437"/>
      <c r="G30" s="438" t="s">
        <v>275</v>
      </c>
      <c r="H30" s="438"/>
      <c r="I30" s="438"/>
      <c r="J30" s="438"/>
      <c r="K30" s="438"/>
      <c r="L30" s="438"/>
      <c r="M30" s="438"/>
      <c r="N30" s="438"/>
    </row>
    <row r="31" spans="1:14" ht="12.75" customHeight="1">
      <c r="A31" s="402" t="s">
        <v>250</v>
      </c>
      <c r="B31" s="437"/>
      <c r="C31" s="437"/>
      <c r="D31" s="437"/>
      <c r="E31" s="437"/>
      <c r="F31" s="437"/>
      <c r="G31" s="438" t="s">
        <v>276</v>
      </c>
      <c r="H31" s="438"/>
      <c r="I31" s="438"/>
      <c r="J31" s="438"/>
      <c r="K31" s="438"/>
      <c r="L31" s="438"/>
      <c r="M31" s="438"/>
      <c r="N31" s="438"/>
    </row>
  </sheetData>
  <mergeCells count="35">
    <mergeCell ref="A31:F31"/>
    <mergeCell ref="G31:N31"/>
    <mergeCell ref="K6:K7"/>
    <mergeCell ref="L6:L7"/>
    <mergeCell ref="M6:M7"/>
    <mergeCell ref="A29:F29"/>
    <mergeCell ref="G29:N29"/>
    <mergeCell ref="A30:F30"/>
    <mergeCell ref="G30:N30"/>
    <mergeCell ref="G6:G7"/>
    <mergeCell ref="H6:H7"/>
    <mergeCell ref="I6:I7"/>
    <mergeCell ref="J6:J7"/>
    <mergeCell ref="J4:J5"/>
    <mergeCell ref="A1:N1"/>
    <mergeCell ref="A2:N2"/>
    <mergeCell ref="A3:A7"/>
    <mergeCell ref="B3:B7"/>
    <mergeCell ref="C3:G3"/>
    <mergeCell ref="H3:M3"/>
    <mergeCell ref="N3:N7"/>
    <mergeCell ref="C4:C5"/>
    <mergeCell ref="D4:D5"/>
    <mergeCell ref="E4:E5"/>
    <mergeCell ref="L4:L5"/>
    <mergeCell ref="M4:M5"/>
    <mergeCell ref="C6:C7"/>
    <mergeCell ref="K4:K5"/>
    <mergeCell ref="F4:F5"/>
    <mergeCell ref="D6:D7"/>
    <mergeCell ref="E6:E7"/>
    <mergeCell ref="F6:F7"/>
    <mergeCell ref="H4:H5"/>
    <mergeCell ref="I4:I5"/>
    <mergeCell ref="G4:G5"/>
  </mergeCells>
  <pageMargins left="0.7" right="0.7" top="0.75" bottom="0.75" header="0.3" footer="0.3"/>
  <pageSetup paperSize="9" scale="63" orientation="portrait" r:id="rId1"/>
</worksheet>
</file>

<file path=xl/worksheets/sheet12.xml><?xml version="1.0" encoding="utf-8"?>
<worksheet xmlns="http://schemas.openxmlformats.org/spreadsheetml/2006/main" xmlns:r="http://schemas.openxmlformats.org/officeDocument/2006/relationships">
  <dimension ref="A1:M31"/>
  <sheetViews>
    <sheetView view="pageBreakPreview" zoomScaleNormal="100" zoomScaleSheetLayoutView="100" workbookViewId="0">
      <selection activeCell="R8" sqref="R8"/>
    </sheetView>
  </sheetViews>
  <sheetFormatPr defaultRowHeight="12.75"/>
  <cols>
    <col min="1" max="1" width="19.28515625" customWidth="1"/>
    <col min="2" max="2" width="10" customWidth="1"/>
    <col min="12" max="12" width="10.7109375" customWidth="1"/>
    <col min="13" max="13" width="17.140625" customWidth="1"/>
  </cols>
  <sheetData>
    <row r="1" spans="1:13" ht="23.25">
      <c r="A1" s="420" t="s">
        <v>176</v>
      </c>
      <c r="B1" s="420"/>
      <c r="C1" s="420"/>
      <c r="D1" s="420"/>
      <c r="E1" s="420"/>
      <c r="F1" s="420"/>
      <c r="G1" s="420"/>
      <c r="H1" s="420"/>
      <c r="I1" s="420"/>
      <c r="J1" s="420"/>
      <c r="K1" s="420"/>
      <c r="L1" s="420"/>
      <c r="M1" s="420"/>
    </row>
    <row r="2" spans="1:13" ht="15">
      <c r="A2" s="421" t="s">
        <v>177</v>
      </c>
      <c r="B2" s="421"/>
      <c r="C2" s="421"/>
      <c r="D2" s="421"/>
      <c r="E2" s="421"/>
      <c r="F2" s="421"/>
      <c r="G2" s="421"/>
      <c r="H2" s="421"/>
      <c r="I2" s="421"/>
      <c r="J2" s="421"/>
      <c r="K2" s="421"/>
      <c r="L2" s="421"/>
      <c r="M2" s="421"/>
    </row>
    <row r="3" spans="1:13" ht="20.25">
      <c r="A3" s="353" t="s">
        <v>178</v>
      </c>
      <c r="B3" s="240" t="s">
        <v>179</v>
      </c>
      <c r="C3" s="241"/>
      <c r="D3" s="241"/>
      <c r="E3" s="241"/>
      <c r="F3" s="241"/>
      <c r="G3" s="241"/>
      <c r="H3" s="241"/>
      <c r="I3" s="241"/>
      <c r="J3" s="241"/>
      <c r="K3" s="241"/>
      <c r="L3" s="242" t="s">
        <v>180</v>
      </c>
      <c r="M3" s="345" t="s">
        <v>181</v>
      </c>
    </row>
    <row r="4" spans="1:13">
      <c r="A4" s="362"/>
      <c r="B4" s="422" t="s">
        <v>182</v>
      </c>
      <c r="C4" s="422" t="s">
        <v>183</v>
      </c>
      <c r="D4" s="422" t="s">
        <v>184</v>
      </c>
      <c r="E4" s="422" t="s">
        <v>185</v>
      </c>
      <c r="F4" s="422" t="s">
        <v>186</v>
      </c>
      <c r="G4" s="422" t="s">
        <v>187</v>
      </c>
      <c r="H4" s="422" t="s">
        <v>188</v>
      </c>
      <c r="I4" s="422" t="s">
        <v>189</v>
      </c>
      <c r="J4" s="422" t="s">
        <v>190</v>
      </c>
      <c r="K4" s="422" t="s">
        <v>191</v>
      </c>
      <c r="L4" s="422" t="s">
        <v>192</v>
      </c>
      <c r="M4" s="358"/>
    </row>
    <row r="5" spans="1:13">
      <c r="A5" s="362"/>
      <c r="B5" s="423"/>
      <c r="C5" s="423" t="s">
        <v>193</v>
      </c>
      <c r="D5" s="423" t="s">
        <v>193</v>
      </c>
      <c r="E5" s="423"/>
      <c r="F5" s="423" t="s">
        <v>193</v>
      </c>
      <c r="G5" s="423" t="s">
        <v>193</v>
      </c>
      <c r="H5" s="423"/>
      <c r="I5" s="423"/>
      <c r="J5" s="423"/>
      <c r="K5" s="423"/>
      <c r="L5" s="423"/>
      <c r="M5" s="358"/>
    </row>
    <row r="6" spans="1:13">
      <c r="A6" s="362"/>
      <c r="B6" s="359" t="s">
        <v>194</v>
      </c>
      <c r="C6" s="359" t="s">
        <v>195</v>
      </c>
      <c r="D6" s="359" t="s">
        <v>196</v>
      </c>
      <c r="E6" s="359" t="s">
        <v>197</v>
      </c>
      <c r="F6" s="359" t="s">
        <v>198</v>
      </c>
      <c r="G6" s="359" t="s">
        <v>199</v>
      </c>
      <c r="H6" s="359" t="s">
        <v>136</v>
      </c>
      <c r="I6" s="359" t="s">
        <v>200</v>
      </c>
      <c r="J6" s="359" t="s">
        <v>201</v>
      </c>
      <c r="K6" s="359" t="s">
        <v>202</v>
      </c>
      <c r="L6" s="359" t="s">
        <v>203</v>
      </c>
      <c r="M6" s="358"/>
    </row>
    <row r="7" spans="1:13">
      <c r="A7" s="363"/>
      <c r="B7" s="359" t="s">
        <v>58</v>
      </c>
      <c r="C7" s="359"/>
      <c r="D7" s="359" t="s">
        <v>204</v>
      </c>
      <c r="E7" s="359" t="s">
        <v>205</v>
      </c>
      <c r="F7" s="359"/>
      <c r="G7" s="359"/>
      <c r="H7" s="359"/>
      <c r="I7" s="359" t="s">
        <v>205</v>
      </c>
      <c r="J7" s="359" t="s">
        <v>205</v>
      </c>
      <c r="K7" s="359" t="s">
        <v>205</v>
      </c>
      <c r="L7" s="359" t="s">
        <v>58</v>
      </c>
      <c r="M7" s="370"/>
    </row>
    <row r="8" spans="1:13" ht="48">
      <c r="A8" s="243" t="s">
        <v>206</v>
      </c>
      <c r="B8" s="244">
        <f>[2]ورقة2!$N$25</f>
        <v>1498096</v>
      </c>
      <c r="C8" s="245">
        <v>343240</v>
      </c>
      <c r="D8" s="245">
        <f>ROUND(95142*0.4,0)</f>
        <v>38057</v>
      </c>
      <c r="E8" s="246">
        <v>0</v>
      </c>
      <c r="F8" s="246">
        <v>0</v>
      </c>
      <c r="G8" s="246">
        <v>0</v>
      </c>
      <c r="H8" s="245">
        <v>0</v>
      </c>
      <c r="I8" s="245">
        <v>0</v>
      </c>
      <c r="J8" s="245">
        <v>0</v>
      </c>
      <c r="K8" s="245">
        <v>0</v>
      </c>
      <c r="L8" s="247">
        <v>9250</v>
      </c>
      <c r="M8" s="248" t="s">
        <v>207</v>
      </c>
    </row>
    <row r="9" spans="1:13" ht="24">
      <c r="A9" s="249" t="s">
        <v>208</v>
      </c>
      <c r="B9" s="250">
        <v>0</v>
      </c>
      <c r="C9" s="251">
        <f>مستورد!$J$19</f>
        <v>27917</v>
      </c>
      <c r="D9" s="251">
        <v>0</v>
      </c>
      <c r="E9" s="251">
        <f>مستورد!$H$19</f>
        <v>11680</v>
      </c>
      <c r="F9" s="251">
        <f>مستورد!$I$19</f>
        <v>1083</v>
      </c>
      <c r="G9" s="251">
        <f>مستورد!$G$19</f>
        <v>167213</v>
      </c>
      <c r="H9" s="251">
        <f>مستورد!$E$19</f>
        <v>3556</v>
      </c>
      <c r="I9" s="251">
        <f>مستورد!$F$19</f>
        <v>1868</v>
      </c>
      <c r="J9" s="251">
        <f>'مستورد 2'!$C$7</f>
        <v>292257</v>
      </c>
      <c r="K9" s="252">
        <f>مستورد!$D$19</f>
        <v>677774</v>
      </c>
      <c r="L9" s="253">
        <f>مستورد!$B$19</f>
        <v>5413088</v>
      </c>
      <c r="M9" s="254" t="s">
        <v>209</v>
      </c>
    </row>
    <row r="10" spans="1:13" ht="24">
      <c r="A10" s="249" t="s">
        <v>210</v>
      </c>
      <c r="B10" s="250">
        <v>0</v>
      </c>
      <c r="C10" s="255">
        <v>-1110</v>
      </c>
      <c r="D10" s="251">
        <v>0</v>
      </c>
      <c r="E10" s="251">
        <v>0</v>
      </c>
      <c r="F10" s="256">
        <v>-141</v>
      </c>
      <c r="G10" s="251">
        <v>0</v>
      </c>
      <c r="H10" s="252">
        <v>0</v>
      </c>
      <c r="I10" s="252">
        <v>0</v>
      </c>
      <c r="J10" s="252">
        <v>0</v>
      </c>
      <c r="K10" s="251">
        <v>0</v>
      </c>
      <c r="L10" s="257">
        <v>0</v>
      </c>
      <c r="M10" s="254" t="s">
        <v>211</v>
      </c>
    </row>
    <row r="11" spans="1:13" ht="40.5">
      <c r="A11" s="249" t="s">
        <v>212</v>
      </c>
      <c r="B11" s="250">
        <v>0</v>
      </c>
      <c r="C11" s="251">
        <v>0</v>
      </c>
      <c r="D11" s="251">
        <v>0</v>
      </c>
      <c r="E11" s="251">
        <v>0</v>
      </c>
      <c r="F11" s="251">
        <v>0</v>
      </c>
      <c r="G11" s="251">
        <v>0</v>
      </c>
      <c r="H11" s="251">
        <v>0</v>
      </c>
      <c r="I11" s="251">
        <v>0</v>
      </c>
      <c r="J11" s="252">
        <v>0</v>
      </c>
      <c r="K11" s="251">
        <v>0</v>
      </c>
      <c r="L11" s="257">
        <v>0</v>
      </c>
      <c r="M11" s="254" t="s">
        <v>213</v>
      </c>
    </row>
    <row r="12" spans="1:13" ht="40.5">
      <c r="A12" s="258" t="s">
        <v>214</v>
      </c>
      <c r="B12" s="259">
        <f t="shared" ref="B12:K12" si="0">SUM(B8:B11)</f>
        <v>1498096</v>
      </c>
      <c r="C12" s="260">
        <f t="shared" si="0"/>
        <v>370047</v>
      </c>
      <c r="D12" s="260">
        <f t="shared" si="0"/>
        <v>38057</v>
      </c>
      <c r="E12" s="260">
        <f t="shared" si="0"/>
        <v>11680</v>
      </c>
      <c r="F12" s="260">
        <f t="shared" si="0"/>
        <v>942</v>
      </c>
      <c r="G12" s="260">
        <f t="shared" si="0"/>
        <v>167213</v>
      </c>
      <c r="H12" s="260">
        <f t="shared" si="0"/>
        <v>3556</v>
      </c>
      <c r="I12" s="260">
        <f t="shared" si="0"/>
        <v>1868</v>
      </c>
      <c r="J12" s="260">
        <f t="shared" si="0"/>
        <v>292257</v>
      </c>
      <c r="K12" s="260">
        <f t="shared" si="0"/>
        <v>677774</v>
      </c>
      <c r="L12" s="261">
        <f>SUM(L8:L11)</f>
        <v>5422338</v>
      </c>
      <c r="M12" s="262" t="s">
        <v>215</v>
      </c>
    </row>
    <row r="13" spans="1:13" ht="48">
      <c r="A13" s="249" t="s">
        <v>216</v>
      </c>
      <c r="B13" s="263">
        <f>B12-B17-B16+B14</f>
        <v>0</v>
      </c>
      <c r="C13" s="252">
        <f t="shared" ref="C13:J13" si="1">C12-C17-C16+C14</f>
        <v>0</v>
      </c>
      <c r="D13" s="252">
        <f t="shared" si="1"/>
        <v>0</v>
      </c>
      <c r="E13" s="252">
        <f t="shared" si="1"/>
        <v>0</v>
      </c>
      <c r="F13" s="252">
        <f t="shared" si="1"/>
        <v>0</v>
      </c>
      <c r="G13" s="252">
        <f t="shared" si="1"/>
        <v>0</v>
      </c>
      <c r="H13" s="252">
        <f>H12-H17-H16+H14</f>
        <v>0</v>
      </c>
      <c r="I13" s="252">
        <f>I12-I17-I16+I14</f>
        <v>0</v>
      </c>
      <c r="J13" s="256">
        <f t="shared" si="1"/>
        <v>0</v>
      </c>
      <c r="K13" s="256">
        <f>K12-K17-K16+K14</f>
        <v>0</v>
      </c>
      <c r="L13" s="257">
        <f>L12-L17-L16+L14</f>
        <v>0</v>
      </c>
      <c r="M13" s="264" t="s">
        <v>217</v>
      </c>
    </row>
    <row r="14" spans="1:13" ht="24">
      <c r="A14" s="258" t="s">
        <v>218</v>
      </c>
      <c r="B14" s="250">
        <v>0</v>
      </c>
      <c r="C14" s="251">
        <v>0</v>
      </c>
      <c r="D14" s="251">
        <v>0</v>
      </c>
      <c r="E14" s="251">
        <v>0</v>
      </c>
      <c r="F14" s="251">
        <v>0</v>
      </c>
      <c r="G14" s="251">
        <v>0</v>
      </c>
      <c r="H14" s="251">
        <v>0</v>
      </c>
      <c r="I14" s="251">
        <v>0</v>
      </c>
      <c r="J14" s="256">
        <f>J15</f>
        <v>-13503</v>
      </c>
      <c r="K14" s="256">
        <f>K15</f>
        <v>-105284</v>
      </c>
      <c r="L14" s="261">
        <f>L15</f>
        <v>505367</v>
      </c>
      <c r="M14" s="262" t="s">
        <v>219</v>
      </c>
    </row>
    <row r="15" spans="1:13" ht="40.5">
      <c r="A15" s="249" t="s">
        <v>220</v>
      </c>
      <c r="B15" s="250">
        <v>0</v>
      </c>
      <c r="C15" s="251">
        <v>0</v>
      </c>
      <c r="D15" s="251">
        <v>0</v>
      </c>
      <c r="E15" s="251">
        <v>0</v>
      </c>
      <c r="F15" s="251">
        <v>0</v>
      </c>
      <c r="G15" s="251">
        <v>0</v>
      </c>
      <c r="H15" s="251">
        <v>0</v>
      </c>
      <c r="I15" s="251">
        <v>0</v>
      </c>
      <c r="J15" s="256">
        <f>ROUND(-[3]حسابات!$X$81,0)</f>
        <v>-13503</v>
      </c>
      <c r="K15" s="256">
        <v>-105284</v>
      </c>
      <c r="L15" s="261">
        <f>([3]حسابات!$AA$84+'كهرباء 2'!$E$20)</f>
        <v>505367</v>
      </c>
      <c r="M15" s="264" t="s">
        <v>221</v>
      </c>
    </row>
    <row r="16" spans="1:13" ht="20.25">
      <c r="A16" s="249" t="s">
        <v>222</v>
      </c>
      <c r="B16" s="250">
        <f>B23</f>
        <v>749048</v>
      </c>
      <c r="C16" s="251">
        <v>0</v>
      </c>
      <c r="D16" s="251">
        <v>0</v>
      </c>
      <c r="E16" s="251">
        <v>0</v>
      </c>
      <c r="F16" s="251">
        <v>0</v>
      </c>
      <c r="G16" s="251">
        <v>0</v>
      </c>
      <c r="H16" s="251">
        <v>1</v>
      </c>
      <c r="I16" s="252">
        <v>5</v>
      </c>
      <c r="J16" s="252">
        <v>2247</v>
      </c>
      <c r="K16" s="252">
        <v>1832</v>
      </c>
      <c r="L16" s="257">
        <f>ROUND(0.12*(L14+L12),0)</f>
        <v>711325</v>
      </c>
      <c r="M16" s="265" t="s">
        <v>223</v>
      </c>
    </row>
    <row r="17" spans="1:13" ht="60.75">
      <c r="A17" s="258" t="s">
        <v>224</v>
      </c>
      <c r="B17" s="266">
        <f>B18+B26</f>
        <v>749048</v>
      </c>
      <c r="C17" s="267">
        <f t="shared" ref="C17:L17" si="2">C18+C26</f>
        <v>370047</v>
      </c>
      <c r="D17" s="267">
        <f t="shared" si="2"/>
        <v>38057</v>
      </c>
      <c r="E17" s="267">
        <f t="shared" si="2"/>
        <v>11680</v>
      </c>
      <c r="F17" s="267">
        <f t="shared" si="2"/>
        <v>942</v>
      </c>
      <c r="G17" s="267">
        <f t="shared" si="2"/>
        <v>167213</v>
      </c>
      <c r="H17" s="267">
        <f t="shared" si="2"/>
        <v>3555</v>
      </c>
      <c r="I17" s="267">
        <f t="shared" si="2"/>
        <v>1863</v>
      </c>
      <c r="J17" s="267">
        <f t="shared" si="2"/>
        <v>276507</v>
      </c>
      <c r="K17" s="267">
        <f t="shared" si="2"/>
        <v>570658</v>
      </c>
      <c r="L17" s="268">
        <f t="shared" si="2"/>
        <v>5216380</v>
      </c>
      <c r="M17" s="262" t="s">
        <v>225</v>
      </c>
    </row>
    <row r="18" spans="1:13" ht="60.75">
      <c r="A18" s="258" t="s">
        <v>226</v>
      </c>
      <c r="B18" s="259">
        <f>B19+B20+B22</f>
        <v>749048</v>
      </c>
      <c r="C18" s="260">
        <f t="shared" ref="C18:L18" si="3">C19+C20+C22</f>
        <v>370047</v>
      </c>
      <c r="D18" s="260">
        <f t="shared" si="3"/>
        <v>38057</v>
      </c>
      <c r="E18" s="260">
        <f t="shared" si="3"/>
        <v>0</v>
      </c>
      <c r="F18" s="260">
        <f t="shared" si="3"/>
        <v>0</v>
      </c>
      <c r="G18" s="260">
        <f t="shared" si="3"/>
        <v>167213</v>
      </c>
      <c r="H18" s="260">
        <f t="shared" si="3"/>
        <v>3555</v>
      </c>
      <c r="I18" s="260">
        <f t="shared" si="3"/>
        <v>1863</v>
      </c>
      <c r="J18" s="260">
        <f t="shared" si="3"/>
        <v>276507</v>
      </c>
      <c r="K18" s="260">
        <f t="shared" si="3"/>
        <v>570658</v>
      </c>
      <c r="L18" s="261">
        <f t="shared" si="3"/>
        <v>5216380</v>
      </c>
      <c r="M18" s="262" t="s">
        <v>227</v>
      </c>
    </row>
    <row r="19" spans="1:13" ht="60.75">
      <c r="A19" s="249" t="s">
        <v>228</v>
      </c>
      <c r="B19" s="250">
        <v>0</v>
      </c>
      <c r="C19" s="252">
        <v>4886</v>
      </c>
      <c r="D19" s="252">
        <v>9514</v>
      </c>
      <c r="E19" s="251">
        <v>0</v>
      </c>
      <c r="F19" s="251">
        <v>0</v>
      </c>
      <c r="G19" s="252">
        <f>ROUND([4]حسابات!$N$77+[4]حسابات!$S$77,0)</f>
        <v>8445</v>
      </c>
      <c r="H19" s="252">
        <v>1777</v>
      </c>
      <c r="I19" s="252">
        <f>ROUND([4]حسابات!$N$75,0)</f>
        <v>208</v>
      </c>
      <c r="J19" s="252">
        <f>ROUND([4]حسابات!$N$74+[4]حسابات!$S$74,0)</f>
        <v>401</v>
      </c>
      <c r="K19" s="252">
        <f>ROUND([4]حسابات!$N$76+[4]حسابات!$S$76,0)</f>
        <v>17887</v>
      </c>
      <c r="L19" s="257">
        <f>'[4]الطاقة 2015'!$D$58</f>
        <v>576201</v>
      </c>
      <c r="M19" s="264" t="s">
        <v>229</v>
      </c>
    </row>
    <row r="20" spans="1:13" ht="40.5">
      <c r="A20" s="258" t="s">
        <v>230</v>
      </c>
      <c r="B20" s="266">
        <v>0</v>
      </c>
      <c r="C20" s="267">
        <v>0</v>
      </c>
      <c r="D20" s="267">
        <v>0</v>
      </c>
      <c r="E20" s="267">
        <v>0</v>
      </c>
      <c r="F20" s="267">
        <v>0</v>
      </c>
      <c r="G20" s="260">
        <f>G21</f>
        <v>4855</v>
      </c>
      <c r="H20" s="260">
        <f>H21</f>
        <v>0</v>
      </c>
      <c r="I20" s="260">
        <f>I21</f>
        <v>0</v>
      </c>
      <c r="J20" s="260">
        <f>J21</f>
        <v>268086</v>
      </c>
      <c r="K20" s="260">
        <f>K21</f>
        <v>533760</v>
      </c>
      <c r="L20" s="261">
        <v>0</v>
      </c>
      <c r="M20" s="262" t="s">
        <v>231</v>
      </c>
    </row>
    <row r="21" spans="1:13" ht="40.5">
      <c r="A21" s="249" t="s">
        <v>232</v>
      </c>
      <c r="B21" s="250">
        <v>0</v>
      </c>
      <c r="C21" s="251">
        <v>0</v>
      </c>
      <c r="D21" s="251">
        <v>0</v>
      </c>
      <c r="E21" s="251">
        <v>0</v>
      </c>
      <c r="F21" s="251">
        <v>0</v>
      </c>
      <c r="G21" s="251">
        <f>4000+855</f>
        <v>4855</v>
      </c>
      <c r="H21" s="251">
        <v>0</v>
      </c>
      <c r="I21" s="251">
        <v>0</v>
      </c>
      <c r="J21" s="252">
        <v>268086</v>
      </c>
      <c r="K21" s="252">
        <v>533760</v>
      </c>
      <c r="L21" s="261">
        <v>0</v>
      </c>
      <c r="M21" s="264" t="s">
        <v>233</v>
      </c>
    </row>
    <row r="22" spans="1:13" ht="121.5">
      <c r="A22" s="258" t="s">
        <v>234</v>
      </c>
      <c r="B22" s="259">
        <f>B23+B24+B25</f>
        <v>749048</v>
      </c>
      <c r="C22" s="260">
        <f t="shared" ref="C22:L22" si="4">C23+C24+C25</f>
        <v>365161</v>
      </c>
      <c r="D22" s="260">
        <f t="shared" si="4"/>
        <v>28543</v>
      </c>
      <c r="E22" s="260">
        <f t="shared" si="4"/>
        <v>0</v>
      </c>
      <c r="F22" s="260">
        <f t="shared" si="4"/>
        <v>0</v>
      </c>
      <c r="G22" s="260">
        <f t="shared" si="4"/>
        <v>153913</v>
      </c>
      <c r="H22" s="260">
        <f t="shared" si="4"/>
        <v>1778</v>
      </c>
      <c r="I22" s="260">
        <f t="shared" si="4"/>
        <v>1655</v>
      </c>
      <c r="J22" s="260">
        <f t="shared" si="4"/>
        <v>8020</v>
      </c>
      <c r="K22" s="260">
        <f t="shared" si="4"/>
        <v>19011</v>
      </c>
      <c r="L22" s="261">
        <f t="shared" si="4"/>
        <v>4640179</v>
      </c>
      <c r="M22" s="262" t="s">
        <v>235</v>
      </c>
    </row>
    <row r="23" spans="1:13" ht="36">
      <c r="A23" s="249" t="s">
        <v>236</v>
      </c>
      <c r="B23" s="263">
        <f>B8/2</f>
        <v>749048</v>
      </c>
      <c r="C23" s="252">
        <f>ROUND(1.01*'[5]physical unit'!$C$23,0)</f>
        <v>363600</v>
      </c>
      <c r="D23" s="252">
        <v>28543</v>
      </c>
      <c r="E23" s="251">
        <v>0</v>
      </c>
      <c r="F23" s="251">
        <v>0</v>
      </c>
      <c r="G23" s="252">
        <v>139024</v>
      </c>
      <c r="H23" s="267">
        <v>0</v>
      </c>
      <c r="I23" s="252">
        <v>1241</v>
      </c>
      <c r="J23" s="251">
        <v>0</v>
      </c>
      <c r="K23" s="252">
        <v>6125</v>
      </c>
      <c r="L23" s="257">
        <f>[6]Sheet1!$I$60</f>
        <v>3273689</v>
      </c>
      <c r="M23" s="269" t="s">
        <v>237</v>
      </c>
    </row>
    <row r="24" spans="1:13" ht="36">
      <c r="A24" s="249" t="s">
        <v>238</v>
      </c>
      <c r="B24" s="270">
        <v>0</v>
      </c>
      <c r="C24" s="251">
        <v>0</v>
      </c>
      <c r="D24" s="251">
        <v>0</v>
      </c>
      <c r="E24" s="251">
        <v>0</v>
      </c>
      <c r="F24" s="251">
        <v>0</v>
      </c>
      <c r="G24" s="252">
        <f>ROUND(1.25*'[5]physical unit'!$G$24,)</f>
        <v>3004</v>
      </c>
      <c r="H24" s="267">
        <v>0</v>
      </c>
      <c r="I24" s="252">
        <f>ROUND(1.25*'[5]physical unit'!$I$24,0)</f>
        <v>39</v>
      </c>
      <c r="J24" s="252">
        <f>ROUND(1.25*'[5]physical unit'!$J$24,0)</f>
        <v>5159</v>
      </c>
      <c r="K24" s="252">
        <f>ROUND(1.25*'[5]physical unit'!$K$24,0)</f>
        <v>10003</v>
      </c>
      <c r="L24" s="257">
        <f>'[7]physical unit'!$K$24+'[4]الطاقة 2015'!$J$63-26</f>
        <v>39409</v>
      </c>
      <c r="M24" s="269" t="s">
        <v>239</v>
      </c>
    </row>
    <row r="25" spans="1:13" ht="48">
      <c r="A25" s="249" t="s">
        <v>240</v>
      </c>
      <c r="B25" s="270">
        <v>0</v>
      </c>
      <c r="C25" s="252">
        <f>ROUND([4]حسابات!$X$79+[4]حسابات!$X$80,0)</f>
        <v>1561</v>
      </c>
      <c r="D25" s="251">
        <v>0</v>
      </c>
      <c r="E25" s="251">
        <v>0</v>
      </c>
      <c r="F25" s="251">
        <v>0</v>
      </c>
      <c r="G25" s="252">
        <f>ROUND([4]حسابات!$O$77,0)</f>
        <v>11885</v>
      </c>
      <c r="H25" s="252">
        <v>1778</v>
      </c>
      <c r="I25" s="252">
        <f>ROUND([4]حسابات!$X$75,0)</f>
        <v>375</v>
      </c>
      <c r="J25" s="252">
        <f>ROUND([4]حسابات!$O$74,0)</f>
        <v>2861</v>
      </c>
      <c r="K25" s="252">
        <f>ROUND([4]حسابات!$O$76,0)</f>
        <v>2883</v>
      </c>
      <c r="L25" s="257">
        <f>'[4]الطاقة 2015'!$B$69</f>
        <v>1327081</v>
      </c>
      <c r="M25" s="269" t="s">
        <v>241</v>
      </c>
    </row>
    <row r="26" spans="1:13" ht="60.75">
      <c r="A26" s="271" t="s">
        <v>242</v>
      </c>
      <c r="B26" s="272">
        <v>0</v>
      </c>
      <c r="C26" s="273">
        <v>0</v>
      </c>
      <c r="D26" s="273">
        <v>0</v>
      </c>
      <c r="E26" s="274">
        <v>11680</v>
      </c>
      <c r="F26" s="274">
        <v>942</v>
      </c>
      <c r="G26" s="273">
        <v>0</v>
      </c>
      <c r="H26" s="275">
        <v>0</v>
      </c>
      <c r="I26" s="275">
        <v>0</v>
      </c>
      <c r="J26" s="275">
        <v>0</v>
      </c>
      <c r="K26" s="275">
        <v>0</v>
      </c>
      <c r="L26" s="276">
        <v>0</v>
      </c>
      <c r="M26" s="277" t="s">
        <v>243</v>
      </c>
    </row>
    <row r="27" spans="1:13" ht="20.25">
      <c r="A27" s="278" t="s">
        <v>70</v>
      </c>
      <c r="B27" s="251"/>
      <c r="C27" s="252"/>
      <c r="D27" s="251"/>
      <c r="E27" s="251"/>
      <c r="F27" s="251"/>
      <c r="G27" s="252"/>
      <c r="H27" s="252"/>
      <c r="I27" s="252"/>
      <c r="J27" s="252"/>
      <c r="K27" s="252"/>
      <c r="L27" s="252"/>
      <c r="M27" s="279" t="s">
        <v>50</v>
      </c>
    </row>
    <row r="28" spans="1:13" ht="20.25">
      <c r="A28" s="280" t="s">
        <v>244</v>
      </c>
      <c r="B28" s="251"/>
      <c r="C28" s="252"/>
      <c r="D28" s="251"/>
      <c r="E28" s="251"/>
      <c r="F28" s="251"/>
      <c r="G28" s="252"/>
      <c r="H28" s="252"/>
      <c r="I28" s="252"/>
      <c r="J28" s="252"/>
      <c r="K28" s="252"/>
      <c r="L28" s="252"/>
      <c r="M28" s="281" t="s">
        <v>245</v>
      </c>
    </row>
    <row r="29" spans="1:13" ht="20.25">
      <c r="A29" s="424" t="s">
        <v>246</v>
      </c>
      <c r="B29" s="424"/>
      <c r="C29" s="424"/>
      <c r="D29" s="424"/>
      <c r="E29" s="424"/>
      <c r="F29" s="424"/>
      <c r="G29" s="425" t="s">
        <v>247</v>
      </c>
      <c r="H29" s="425"/>
      <c r="I29" s="425"/>
      <c r="J29" s="425"/>
      <c r="K29" s="425"/>
      <c r="L29" s="425"/>
      <c r="M29" s="425"/>
    </row>
    <row r="30" spans="1:13" ht="20.25">
      <c r="A30" s="426" t="s">
        <v>248</v>
      </c>
      <c r="B30" s="426"/>
      <c r="C30" s="426"/>
      <c r="D30" s="426"/>
      <c r="E30" s="426"/>
      <c r="F30" s="426"/>
      <c r="G30" s="427" t="s">
        <v>249</v>
      </c>
      <c r="H30" s="427"/>
      <c r="I30" s="427"/>
      <c r="J30" s="427"/>
      <c r="K30" s="427"/>
      <c r="L30" s="427"/>
      <c r="M30" s="427"/>
    </row>
    <row r="31" spans="1:13" ht="20.25">
      <c r="A31" s="426" t="s">
        <v>250</v>
      </c>
      <c r="B31" s="426"/>
      <c r="C31" s="426"/>
      <c r="D31" s="426"/>
      <c r="E31" s="426"/>
      <c r="F31" s="426"/>
      <c r="G31" s="427" t="s">
        <v>251</v>
      </c>
      <c r="H31" s="427"/>
      <c r="I31" s="427"/>
      <c r="J31" s="427"/>
      <c r="K31" s="427"/>
      <c r="L31" s="427"/>
      <c r="M31" s="427"/>
    </row>
  </sheetData>
  <mergeCells count="32">
    <mergeCell ref="A29:F29"/>
    <mergeCell ref="G29:M29"/>
    <mergeCell ref="A30:F30"/>
    <mergeCell ref="G30:M30"/>
    <mergeCell ref="A31:F31"/>
    <mergeCell ref="G31:M31"/>
    <mergeCell ref="G6:G7"/>
    <mergeCell ref="H6:H7"/>
    <mergeCell ref="I6:I7"/>
    <mergeCell ref="J6:J7"/>
    <mergeCell ref="K6:K7"/>
    <mergeCell ref="L6:L7"/>
    <mergeCell ref="H4:H5"/>
    <mergeCell ref="I4:I5"/>
    <mergeCell ref="J4:J5"/>
    <mergeCell ref="K4:K5"/>
    <mergeCell ref="L4:L5"/>
    <mergeCell ref="B6:B7"/>
    <mergeCell ref="C6:C7"/>
    <mergeCell ref="D6:D7"/>
    <mergeCell ref="E6:E7"/>
    <mergeCell ref="F6:F7"/>
    <mergeCell ref="A1:M1"/>
    <mergeCell ref="A2:M2"/>
    <mergeCell ref="A3:A7"/>
    <mergeCell ref="M3:M7"/>
    <mergeCell ref="B4:B5"/>
    <mergeCell ref="C4:C5"/>
    <mergeCell ref="D4:D5"/>
    <mergeCell ref="E4:E5"/>
    <mergeCell ref="F4:F5"/>
    <mergeCell ref="G4:G5"/>
  </mergeCells>
  <pageMargins left="0.7" right="0.7" top="0.75" bottom="0.75" header="0.3" footer="0.3"/>
  <pageSetup paperSize="9" scale="64" orientation="portrait" r:id="rId1"/>
  <legacyDrawing r:id="rId2"/>
</worksheet>
</file>

<file path=xl/worksheets/sheet2.xml><?xml version="1.0" encoding="utf-8"?>
<worksheet xmlns="http://schemas.openxmlformats.org/spreadsheetml/2006/main" xmlns:r="http://schemas.openxmlformats.org/officeDocument/2006/relationships">
  <sheetPr codeName="Sheet2"/>
  <dimension ref="A1:M23"/>
  <sheetViews>
    <sheetView rightToLeft="1" view="pageBreakPreview" zoomScaleNormal="100" zoomScaleSheetLayoutView="100" workbookViewId="0">
      <selection activeCell="Q15" sqref="Q15"/>
    </sheetView>
  </sheetViews>
  <sheetFormatPr defaultRowHeight="12.75"/>
  <cols>
    <col min="1" max="1" width="13.140625" customWidth="1"/>
    <col min="2" max="2" width="12.7109375" customWidth="1"/>
    <col min="3" max="3" width="13.7109375" customWidth="1"/>
    <col min="4" max="5" width="14.7109375" customWidth="1"/>
    <col min="6" max="6" width="13.85546875" customWidth="1"/>
    <col min="7" max="8" width="11.42578125" customWidth="1"/>
    <col min="9" max="9" width="15" customWidth="1"/>
    <col min="10" max="10" width="13.5703125" customWidth="1"/>
    <col min="11" max="11" width="17.140625" customWidth="1"/>
  </cols>
  <sheetData>
    <row r="1" spans="1:13" ht="17.100000000000001" customHeight="1">
      <c r="A1" s="309" t="s">
        <v>143</v>
      </c>
      <c r="B1" s="309"/>
      <c r="C1" s="309"/>
      <c r="D1" s="309"/>
      <c r="E1" s="309"/>
      <c r="F1" s="309"/>
      <c r="G1" s="309"/>
      <c r="H1" s="309"/>
      <c r="I1" s="309"/>
      <c r="J1" s="309"/>
      <c r="K1" s="309"/>
    </row>
    <row r="2" spans="1:13" ht="17.100000000000001" customHeight="1">
      <c r="A2" s="310" t="s">
        <v>144</v>
      </c>
      <c r="B2" s="310"/>
      <c r="C2" s="310"/>
      <c r="D2" s="310"/>
      <c r="E2" s="310"/>
      <c r="F2" s="310"/>
      <c r="G2" s="310"/>
      <c r="H2" s="310"/>
      <c r="I2" s="310"/>
      <c r="J2" s="310"/>
      <c r="K2" s="310"/>
    </row>
    <row r="3" spans="1:13" ht="6" customHeight="1"/>
    <row r="4" spans="1:13" ht="15.95" customHeight="1">
      <c r="A4" s="328" t="s">
        <v>2</v>
      </c>
      <c r="B4" s="205" t="s">
        <v>123</v>
      </c>
      <c r="C4" s="34"/>
      <c r="D4" s="34"/>
      <c r="E4" s="34"/>
      <c r="F4" s="34"/>
      <c r="G4" s="34"/>
      <c r="H4" s="34"/>
      <c r="I4" s="308" t="s">
        <v>122</v>
      </c>
      <c r="J4" s="325"/>
      <c r="K4" s="322" t="s">
        <v>3</v>
      </c>
    </row>
    <row r="5" spans="1:13" ht="15.75" customHeight="1">
      <c r="A5" s="329"/>
      <c r="B5" s="32" t="s">
        <v>8</v>
      </c>
      <c r="C5" s="32" t="s">
        <v>12</v>
      </c>
      <c r="D5" s="32" t="s">
        <v>117</v>
      </c>
      <c r="E5" s="32" t="s">
        <v>135</v>
      </c>
      <c r="F5" s="32" t="s">
        <v>118</v>
      </c>
      <c r="G5" s="32" t="s">
        <v>6</v>
      </c>
      <c r="H5" s="32" t="s">
        <v>64</v>
      </c>
      <c r="I5" s="32" t="s">
        <v>9</v>
      </c>
      <c r="J5" s="32" t="s">
        <v>91</v>
      </c>
      <c r="K5" s="323"/>
    </row>
    <row r="6" spans="1:13" ht="32.1" customHeight="1">
      <c r="A6" s="330"/>
      <c r="B6" s="36" t="s">
        <v>7</v>
      </c>
      <c r="C6" s="33" t="s">
        <v>107</v>
      </c>
      <c r="D6" s="33" t="s">
        <v>167</v>
      </c>
      <c r="E6" s="36" t="s">
        <v>136</v>
      </c>
      <c r="F6" s="33" t="s">
        <v>110</v>
      </c>
      <c r="G6" s="33" t="s">
        <v>11</v>
      </c>
      <c r="H6" s="36" t="s">
        <v>65</v>
      </c>
      <c r="I6" s="36" t="s">
        <v>10</v>
      </c>
      <c r="J6" s="36" t="s">
        <v>90</v>
      </c>
      <c r="K6" s="324"/>
    </row>
    <row r="7" spans="1:13" s="5" customFormat="1" ht="20.100000000000001" customHeight="1">
      <c r="A7" s="52" t="s">
        <v>93</v>
      </c>
      <c r="B7" s="212">
        <f t="shared" ref="B7:J7" si="0">B8+B9</f>
        <v>5413088</v>
      </c>
      <c r="C7" s="213">
        <f t="shared" si="0"/>
        <v>292257</v>
      </c>
      <c r="D7" s="213">
        <f t="shared" si="0"/>
        <v>677774</v>
      </c>
      <c r="E7" s="213">
        <f>E8+E9</f>
        <v>3556</v>
      </c>
      <c r="F7" s="213">
        <f t="shared" si="0"/>
        <v>1868</v>
      </c>
      <c r="G7" s="213">
        <f t="shared" si="0"/>
        <v>167213</v>
      </c>
      <c r="H7" s="213">
        <f t="shared" si="0"/>
        <v>11680</v>
      </c>
      <c r="I7" s="212">
        <f t="shared" si="0"/>
        <v>1083</v>
      </c>
      <c r="J7" s="212">
        <f t="shared" si="0"/>
        <v>27917</v>
      </c>
      <c r="K7" s="74" t="s">
        <v>95</v>
      </c>
    </row>
    <row r="8" spans="1:13" s="5" customFormat="1" ht="20.100000000000001" customHeight="1">
      <c r="A8" s="83" t="s">
        <v>94</v>
      </c>
      <c r="B8" s="214">
        <f>'كهرباء 1'!D19</f>
        <v>4281615</v>
      </c>
      <c r="C8" s="214">
        <v>243473</v>
      </c>
      <c r="D8" s="214">
        <v>464813</v>
      </c>
      <c r="E8" s="214">
        <v>3556</v>
      </c>
      <c r="F8" s="214">
        <v>1646</v>
      </c>
      <c r="G8" s="214">
        <v>108210</v>
      </c>
      <c r="H8" s="214">
        <v>10899</v>
      </c>
      <c r="I8" s="214">
        <v>1015</v>
      </c>
      <c r="J8" s="214">
        <v>27917</v>
      </c>
      <c r="K8" s="46" t="s">
        <v>96</v>
      </c>
      <c r="M8" s="80"/>
    </row>
    <row r="9" spans="1:13" s="5" customFormat="1" ht="20.100000000000001" customHeight="1">
      <c r="A9" s="84" t="s">
        <v>29</v>
      </c>
      <c r="B9" s="215">
        <f>'كهرباء 2'!D20</f>
        <v>1131473</v>
      </c>
      <c r="C9" s="215">
        <v>48784</v>
      </c>
      <c r="D9" s="215">
        <v>212961</v>
      </c>
      <c r="E9" s="220">
        <v>0</v>
      </c>
      <c r="F9" s="215">
        <v>222</v>
      </c>
      <c r="G9" s="215">
        <v>59003</v>
      </c>
      <c r="H9" s="215">
        <v>781</v>
      </c>
      <c r="I9" s="215">
        <v>68</v>
      </c>
      <c r="J9" s="220">
        <v>0</v>
      </c>
      <c r="K9" s="85" t="s">
        <v>30</v>
      </c>
    </row>
    <row r="10" spans="1:13" s="5" customFormat="1" ht="20.100000000000001" customHeight="1">
      <c r="A10" s="44" t="s">
        <v>50</v>
      </c>
      <c r="B10" s="214"/>
      <c r="C10" s="214"/>
      <c r="D10" s="214"/>
      <c r="E10" s="87"/>
      <c r="F10" s="214"/>
      <c r="G10" s="214"/>
      <c r="H10" s="214"/>
      <c r="I10" s="214"/>
      <c r="J10" s="226"/>
      <c r="K10" s="227" t="s">
        <v>70</v>
      </c>
    </row>
    <row r="11" spans="1:13" ht="15.95" customHeight="1">
      <c r="A11" s="317" t="s">
        <v>130</v>
      </c>
      <c r="B11" s="317"/>
      <c r="C11" s="317"/>
      <c r="D11" s="317"/>
      <c r="E11" s="317"/>
      <c r="F11" s="317"/>
      <c r="G11" s="318" t="s">
        <v>132</v>
      </c>
      <c r="H11" s="318"/>
      <c r="I11" s="318"/>
      <c r="J11" s="318"/>
      <c r="K11" s="318"/>
    </row>
    <row r="12" spans="1:13" ht="18.75" customHeight="1">
      <c r="A12" s="326"/>
      <c r="B12" s="326"/>
      <c r="C12" s="326"/>
      <c r="D12" s="326"/>
      <c r="E12" s="326"/>
      <c r="F12" s="326"/>
      <c r="G12" s="327"/>
      <c r="H12" s="327"/>
      <c r="I12" s="327"/>
      <c r="J12" s="327"/>
      <c r="K12" s="327"/>
    </row>
    <row r="13" spans="1:13" ht="18" customHeight="1">
      <c r="A13" s="69" t="s">
        <v>88</v>
      </c>
      <c r="B13" s="58"/>
      <c r="C13" s="58"/>
      <c r="D13" s="58"/>
      <c r="E13" s="58"/>
      <c r="F13" s="58"/>
      <c r="G13" s="58"/>
      <c r="H13" s="58"/>
      <c r="I13" s="58"/>
      <c r="J13" s="58"/>
      <c r="K13" s="172" t="s">
        <v>89</v>
      </c>
    </row>
    <row r="14" spans="1:13" ht="24" customHeight="1">
      <c r="A14" s="317" t="s">
        <v>139</v>
      </c>
      <c r="B14" s="317"/>
      <c r="C14" s="317"/>
      <c r="D14" s="317"/>
      <c r="E14" s="317"/>
      <c r="F14" s="317"/>
      <c r="G14" s="318" t="s">
        <v>145</v>
      </c>
      <c r="H14" s="318"/>
      <c r="I14" s="319"/>
      <c r="J14" s="319"/>
      <c r="K14" s="319"/>
    </row>
    <row r="15" spans="1:13" ht="26.25" customHeight="1">
      <c r="A15" s="317" t="s">
        <v>140</v>
      </c>
      <c r="B15" s="317"/>
      <c r="C15" s="317"/>
      <c r="D15" s="317"/>
      <c r="E15" s="317"/>
      <c r="F15" s="317"/>
      <c r="G15" s="318" t="s">
        <v>146</v>
      </c>
      <c r="H15" s="318"/>
      <c r="I15" s="319"/>
      <c r="J15" s="319"/>
      <c r="K15" s="319"/>
    </row>
    <row r="16" spans="1:13" ht="18" customHeight="1">
      <c r="A16" s="4"/>
      <c r="B16" s="43"/>
      <c r="C16" s="43"/>
      <c r="D16" s="43"/>
      <c r="E16" s="43"/>
      <c r="F16" s="43"/>
      <c r="G16" s="43"/>
      <c r="H16" s="43"/>
      <c r="I16" s="43"/>
      <c r="J16" s="43"/>
    </row>
    <row r="17" spans="2:10" ht="18" customHeight="1">
      <c r="B17" s="43">
        <v>402607</v>
      </c>
      <c r="C17" s="43"/>
      <c r="D17" s="43">
        <f>D9+[1]الأصل!$B$72</f>
        <v>218050.3</v>
      </c>
      <c r="E17" s="43"/>
      <c r="F17" s="43"/>
      <c r="G17" s="43"/>
      <c r="H17" s="43"/>
      <c r="I17" s="43"/>
      <c r="J17" s="43"/>
    </row>
    <row r="18" spans="2:10" ht="18" customHeight="1">
      <c r="B18" s="43"/>
      <c r="C18" s="43"/>
      <c r="D18" s="43">
        <f>452-430</f>
        <v>22</v>
      </c>
      <c r="E18" s="43"/>
      <c r="F18" s="43"/>
      <c r="G18" s="43"/>
      <c r="H18" s="43"/>
      <c r="I18" s="43"/>
      <c r="J18" s="43"/>
    </row>
    <row r="19" spans="2:10" ht="18" customHeight="1">
      <c r="B19" s="43">
        <f>'كهرباء 1'!D19+'كهرباء 2'!F20-'كهرباء 2'!E20</f>
        <v>5413088</v>
      </c>
      <c r="C19" s="43"/>
      <c r="D19" s="204">
        <f>D18/452</f>
        <v>4.8672566371681415E-2</v>
      </c>
      <c r="E19" s="204"/>
      <c r="F19" s="43"/>
      <c r="G19" s="167" t="s">
        <v>83</v>
      </c>
      <c r="H19" s="43"/>
      <c r="I19" s="43"/>
      <c r="J19" s="43"/>
    </row>
    <row r="20" spans="2:10" ht="18.600000000000001" customHeight="1"/>
    <row r="21" spans="2:10" ht="18.600000000000001" customHeight="1"/>
    <row r="22" spans="2:10" ht="18.600000000000001" customHeight="1">
      <c r="F22" s="150"/>
      <c r="G22" s="150"/>
      <c r="H22" s="150"/>
      <c r="I22" s="150"/>
    </row>
    <row r="23" spans="2:10" ht="18.600000000000001" customHeight="1"/>
  </sheetData>
  <mergeCells count="11">
    <mergeCell ref="A1:K1"/>
    <mergeCell ref="A2:K2"/>
    <mergeCell ref="I4:J4"/>
    <mergeCell ref="A11:F12"/>
    <mergeCell ref="G11:K12"/>
    <mergeCell ref="A4:A6"/>
    <mergeCell ref="A14:F14"/>
    <mergeCell ref="A15:F15"/>
    <mergeCell ref="G14:K14"/>
    <mergeCell ref="G15:K15"/>
    <mergeCell ref="K4:K6"/>
  </mergeCells>
  <phoneticPr fontId="0" type="noConversion"/>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2015&amp;R&amp;"Simplified Arabic,Regular"&amp;8&amp;K00+000ل&amp;K000000PCBS: جداول الطاقة 2015</oddHeader>
    <oddFooter>&amp;C&amp;P</oddFooter>
  </headerFooter>
</worksheet>
</file>

<file path=xl/worksheets/sheet3.xml><?xml version="1.0" encoding="utf-8"?>
<worksheet xmlns="http://schemas.openxmlformats.org/spreadsheetml/2006/main" xmlns:r="http://schemas.openxmlformats.org/officeDocument/2006/relationships">
  <dimension ref="A1:L23"/>
  <sheetViews>
    <sheetView rightToLeft="1" view="pageBreakPreview" zoomScaleNormal="100" zoomScaleSheetLayoutView="100" workbookViewId="0">
      <selection activeCell="Q15" sqref="Q15"/>
    </sheetView>
  </sheetViews>
  <sheetFormatPr defaultRowHeight="12.75"/>
  <cols>
    <col min="1" max="1" width="22" style="89" customWidth="1"/>
    <col min="2" max="2" width="9.85546875" style="89" customWidth="1"/>
    <col min="3" max="3" width="10.85546875" style="89" customWidth="1"/>
    <col min="4" max="4" width="10.140625" style="89" customWidth="1"/>
    <col min="5" max="5" width="10.85546875" style="89" customWidth="1"/>
    <col min="6" max="6" width="11.42578125" style="89" customWidth="1"/>
    <col min="7" max="8" width="10" style="89" customWidth="1"/>
    <col min="9" max="9" width="41" style="89" customWidth="1"/>
    <col min="10" max="16384" width="9.140625" style="89"/>
  </cols>
  <sheetData>
    <row r="1" spans="1:12" ht="17.100000000000001" customHeight="1">
      <c r="A1" s="334" t="s">
        <v>149</v>
      </c>
      <c r="B1" s="334"/>
      <c r="C1" s="334"/>
      <c r="D1" s="334"/>
      <c r="E1" s="334"/>
      <c r="F1" s="334"/>
      <c r="G1" s="334"/>
      <c r="H1" s="334"/>
      <c r="I1" s="334"/>
    </row>
    <row r="2" spans="1:12" ht="15.75" customHeight="1">
      <c r="A2" s="335" t="s">
        <v>150</v>
      </c>
      <c r="B2" s="336"/>
      <c r="C2" s="336"/>
      <c r="D2" s="336"/>
      <c r="E2" s="336"/>
      <c r="F2" s="336"/>
      <c r="G2" s="336"/>
      <c r="H2" s="336"/>
      <c r="I2" s="336"/>
    </row>
    <row r="3" spans="1:12" ht="6" customHeight="1"/>
    <row r="4" spans="1:12" ht="15.95" customHeight="1">
      <c r="A4" s="337" t="s">
        <v>71</v>
      </c>
      <c r="B4" s="90" t="s">
        <v>55</v>
      </c>
      <c r="C4" s="91"/>
      <c r="D4" s="91"/>
      <c r="E4" s="92"/>
      <c r="F4" s="93"/>
      <c r="G4" s="222"/>
      <c r="H4" s="216" t="s">
        <v>59</v>
      </c>
      <c r="I4" s="339" t="s">
        <v>72</v>
      </c>
    </row>
    <row r="5" spans="1:12" ht="15.75" customHeight="1">
      <c r="A5" s="338"/>
      <c r="B5" s="94">
        <v>2009</v>
      </c>
      <c r="C5" s="94">
        <v>2010</v>
      </c>
      <c r="D5" s="94">
        <v>2011</v>
      </c>
      <c r="E5" s="94">
        <v>2012</v>
      </c>
      <c r="F5" s="164">
        <v>2013</v>
      </c>
      <c r="G5" s="164">
        <v>2014</v>
      </c>
      <c r="H5" s="164">
        <v>2015</v>
      </c>
      <c r="I5" s="340"/>
    </row>
    <row r="6" spans="1:12" s="99" customFormat="1" ht="20.100000000000001" customHeight="1">
      <c r="A6" s="95" t="s">
        <v>133</v>
      </c>
      <c r="B6" s="96">
        <v>3982940</v>
      </c>
      <c r="C6" s="96">
        <v>4158848</v>
      </c>
      <c r="D6" s="107">
        <v>4621686</v>
      </c>
      <c r="E6" s="96">
        <v>4909260</v>
      </c>
      <c r="F6" s="96">
        <v>4734254</v>
      </c>
      <c r="G6" s="96">
        <v>4935297</v>
      </c>
      <c r="H6" s="97">
        <f>مستورد!B19</f>
        <v>5413088</v>
      </c>
      <c r="I6" s="98" t="s">
        <v>87</v>
      </c>
    </row>
    <row r="7" spans="1:12" s="99" customFormat="1" ht="20.100000000000001" customHeight="1">
      <c r="A7" s="100" t="s">
        <v>97</v>
      </c>
      <c r="B7" s="101">
        <v>430340</v>
      </c>
      <c r="C7" s="101">
        <v>304985</v>
      </c>
      <c r="D7" s="108">
        <v>542440</v>
      </c>
      <c r="E7" s="101">
        <v>391966</v>
      </c>
      <c r="F7" s="101">
        <v>402607</v>
      </c>
      <c r="G7" s="101">
        <v>266054</v>
      </c>
      <c r="H7" s="102">
        <f>'كهرباء 2'!E20</f>
        <v>354970</v>
      </c>
      <c r="I7" s="193" t="s">
        <v>106</v>
      </c>
      <c r="L7" s="99">
        <v>534097</v>
      </c>
    </row>
    <row r="8" spans="1:12" s="99" customFormat="1" ht="20.100000000000001" customHeight="1">
      <c r="A8" s="100" t="s">
        <v>134</v>
      </c>
      <c r="B8" s="101">
        <v>70321</v>
      </c>
      <c r="C8" s="101">
        <v>168336</v>
      </c>
      <c r="D8" s="108">
        <v>26892</v>
      </c>
      <c r="E8" s="101">
        <v>69146</v>
      </c>
      <c r="F8" s="101">
        <v>131490</v>
      </c>
      <c r="G8" s="101">
        <v>70533</v>
      </c>
      <c r="H8" s="102">
        <v>150397</v>
      </c>
      <c r="I8" s="103" t="s">
        <v>124</v>
      </c>
      <c r="L8" s="99">
        <v>402607</v>
      </c>
    </row>
    <row r="9" spans="1:12" s="99" customFormat="1" ht="20.100000000000001" customHeight="1">
      <c r="A9" s="104" t="s">
        <v>40</v>
      </c>
      <c r="B9" s="105">
        <f>SUM(B6:B8)</f>
        <v>4483601</v>
      </c>
      <c r="C9" s="105">
        <f t="shared" ref="C9:H9" si="0">SUM(C6:C8)</f>
        <v>4632169</v>
      </c>
      <c r="D9" s="105">
        <f t="shared" si="0"/>
        <v>5191018</v>
      </c>
      <c r="E9" s="105">
        <f t="shared" si="0"/>
        <v>5370372</v>
      </c>
      <c r="F9" s="105">
        <f t="shared" si="0"/>
        <v>5268351</v>
      </c>
      <c r="G9" s="105">
        <f t="shared" si="0"/>
        <v>5271884</v>
      </c>
      <c r="H9" s="105">
        <f t="shared" si="0"/>
        <v>5918455</v>
      </c>
      <c r="I9" s="148" t="s">
        <v>31</v>
      </c>
    </row>
    <row r="10" spans="1:12" ht="28.5" customHeight="1">
      <c r="A10" s="341" t="s">
        <v>99</v>
      </c>
      <c r="B10" s="342"/>
      <c r="C10" s="342"/>
      <c r="D10" s="342"/>
      <c r="E10" s="333" t="s">
        <v>100</v>
      </c>
      <c r="F10" s="332"/>
      <c r="G10" s="332"/>
      <c r="H10" s="332"/>
      <c r="I10" s="332"/>
      <c r="J10" s="173">
        <f>H8-H7</f>
        <v>-204573</v>
      </c>
      <c r="L10" s="89">
        <f>L7-L8</f>
        <v>131490</v>
      </c>
    </row>
    <row r="11" spans="1:12" ht="39" customHeight="1">
      <c r="A11" s="331" t="s">
        <v>147</v>
      </c>
      <c r="B11" s="332"/>
      <c r="C11" s="332"/>
      <c r="D11" s="332"/>
      <c r="E11" s="333" t="s">
        <v>148</v>
      </c>
      <c r="F11" s="332"/>
      <c r="G11" s="332"/>
      <c r="H11" s="332"/>
      <c r="I11" s="332"/>
      <c r="L11" s="89">
        <v>336587</v>
      </c>
    </row>
    <row r="12" spans="1:12" ht="18" customHeight="1">
      <c r="B12" s="106"/>
      <c r="C12" s="106"/>
      <c r="D12" s="106"/>
      <c r="E12" s="106"/>
      <c r="F12" s="106"/>
      <c r="G12" s="106"/>
      <c r="H12" s="106"/>
      <c r="L12" s="173">
        <f>L11-G7</f>
        <v>70533</v>
      </c>
    </row>
    <row r="13" spans="1:12" ht="18" customHeight="1">
      <c r="B13" s="181">
        <v>410312</v>
      </c>
      <c r="C13" s="181">
        <v>430340</v>
      </c>
      <c r="D13" s="181">
        <v>304985</v>
      </c>
      <c r="E13" s="181">
        <v>542440</v>
      </c>
      <c r="F13" s="181">
        <v>391966</v>
      </c>
      <c r="G13" s="182">
        <v>402607</v>
      </c>
      <c r="H13" s="217"/>
    </row>
    <row r="14" spans="1:12" ht="18" customHeight="1">
      <c r="B14" s="181">
        <f>B7-B13</f>
        <v>20028</v>
      </c>
      <c r="C14" s="181">
        <f t="shared" ref="C14:G14" si="1">C7-C13</f>
        <v>-125355</v>
      </c>
      <c r="D14" s="181">
        <f t="shared" si="1"/>
        <v>237455</v>
      </c>
      <c r="E14" s="181">
        <f t="shared" si="1"/>
        <v>-150474</v>
      </c>
      <c r="F14" s="181">
        <f t="shared" si="1"/>
        <v>10641</v>
      </c>
      <c r="G14" s="181">
        <f t="shared" si="1"/>
        <v>-136553</v>
      </c>
      <c r="H14" s="181"/>
    </row>
    <row r="15" spans="1:12" ht="18.600000000000001" customHeight="1">
      <c r="D15" s="173"/>
      <c r="G15" s="173"/>
      <c r="H15" s="173"/>
    </row>
    <row r="16" spans="1:12" ht="18.600000000000001" customHeight="1">
      <c r="B16" s="173">
        <f>B7-B8</f>
        <v>360019</v>
      </c>
      <c r="C16" s="173">
        <f t="shared" ref="C16:G16" si="2">C7-C8</f>
        <v>136649</v>
      </c>
      <c r="D16" s="173">
        <f t="shared" si="2"/>
        <v>515548</v>
      </c>
      <c r="E16" s="173">
        <f t="shared" si="2"/>
        <v>322820</v>
      </c>
      <c r="F16" s="173">
        <f t="shared" si="2"/>
        <v>271117</v>
      </c>
      <c r="G16" s="173">
        <f t="shared" si="2"/>
        <v>195521</v>
      </c>
      <c r="H16" s="173"/>
    </row>
    <row r="17" spans="2:9" ht="18.600000000000001" customHeight="1">
      <c r="B17" s="89">
        <v>410312</v>
      </c>
      <c r="C17" s="89">
        <v>430340</v>
      </c>
      <c r="D17" s="89">
        <v>304985</v>
      </c>
      <c r="E17" s="89">
        <v>542440</v>
      </c>
      <c r="F17" s="89">
        <v>391966</v>
      </c>
      <c r="G17" s="89">
        <v>402607</v>
      </c>
    </row>
    <row r="18" spans="2:9" ht="18.600000000000001" customHeight="1">
      <c r="B18" s="173">
        <f>B16-B17</f>
        <v>-50293</v>
      </c>
      <c r="C18" s="173">
        <f t="shared" ref="C18:G18" si="3">C16-C17</f>
        <v>-293691</v>
      </c>
      <c r="D18" s="173">
        <f t="shared" si="3"/>
        <v>210563</v>
      </c>
      <c r="E18" s="173">
        <f t="shared" si="3"/>
        <v>-219620</v>
      </c>
      <c r="F18" s="173">
        <f t="shared" si="3"/>
        <v>-120849</v>
      </c>
      <c r="G18" s="173">
        <f t="shared" si="3"/>
        <v>-207086</v>
      </c>
      <c r="H18" s="173"/>
    </row>
    <row r="20" spans="2:9">
      <c r="F20" s="166"/>
    </row>
    <row r="22" spans="2:9">
      <c r="B22" s="173">
        <f>SUM(B6:B8)-B9</f>
        <v>0</v>
      </c>
      <c r="C22" s="173">
        <f t="shared" ref="C22:G22" si="4">SUM(C6:C8)-C9</f>
        <v>0</v>
      </c>
      <c r="D22" s="173">
        <f t="shared" si="4"/>
        <v>0</v>
      </c>
      <c r="E22" s="173">
        <f t="shared" si="4"/>
        <v>0</v>
      </c>
      <c r="F22" s="173">
        <f t="shared" si="4"/>
        <v>0</v>
      </c>
      <c r="G22" s="173">
        <f t="shared" si="4"/>
        <v>0</v>
      </c>
      <c r="H22" s="173"/>
    </row>
    <row r="23" spans="2:9">
      <c r="E23" s="152"/>
      <c r="F23" s="152"/>
      <c r="G23" s="152"/>
      <c r="H23" s="152"/>
      <c r="I23" s="152"/>
    </row>
  </sheetData>
  <mergeCells count="8">
    <mergeCell ref="A11:D11"/>
    <mergeCell ref="E11:I11"/>
    <mergeCell ref="A1:I1"/>
    <mergeCell ref="A2:I2"/>
    <mergeCell ref="A4:A5"/>
    <mergeCell ref="I4:I5"/>
    <mergeCell ref="A10:D10"/>
    <mergeCell ref="E10:I10"/>
  </mergeCells>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ignoredErrors>
    <ignoredError sqref="B9:G9" formulaRange="1"/>
  </ignoredErrors>
</worksheet>
</file>

<file path=xl/worksheets/sheet4.xml><?xml version="1.0" encoding="utf-8"?>
<worksheet xmlns="http://schemas.openxmlformats.org/spreadsheetml/2006/main" xmlns:r="http://schemas.openxmlformats.org/officeDocument/2006/relationships">
  <dimension ref="A1:O37"/>
  <sheetViews>
    <sheetView rightToLeft="1" view="pageBreakPreview" zoomScaleNormal="100" zoomScaleSheetLayoutView="100" workbookViewId="0">
      <selection activeCell="Q15" sqref="Q15"/>
    </sheetView>
  </sheetViews>
  <sheetFormatPr defaultRowHeight="12.75"/>
  <cols>
    <col min="1" max="5" width="17.7109375" style="1" customWidth="1"/>
    <col min="6" max="6" width="12" style="1" customWidth="1"/>
    <col min="7" max="7" width="14" style="1" customWidth="1"/>
    <col min="8" max="8" width="10.5703125" style="1" customWidth="1"/>
    <col min="9" max="9" width="9.28515625" style="1" bestFit="1" customWidth="1"/>
    <col min="10" max="10" width="12.140625" style="1" customWidth="1"/>
    <col min="11" max="11" width="11.140625" style="1" customWidth="1"/>
    <col min="12" max="12" width="11.7109375" style="1" customWidth="1"/>
    <col min="13" max="13" width="10.85546875" style="1" customWidth="1"/>
    <col min="14" max="14" width="12.5703125" style="1" bestFit="1" customWidth="1"/>
    <col min="15" max="16384" width="9.140625" style="1"/>
  </cols>
  <sheetData>
    <row r="1" spans="1:15" ht="17.100000000000001" customHeight="1">
      <c r="A1" s="343" t="s">
        <v>151</v>
      </c>
      <c r="B1" s="343"/>
      <c r="C1" s="343"/>
      <c r="D1" s="343"/>
      <c r="E1" s="343"/>
    </row>
    <row r="2" spans="1:15" ht="31.5" customHeight="1">
      <c r="A2" s="344" t="s">
        <v>152</v>
      </c>
      <c r="B2" s="344"/>
      <c r="C2" s="344"/>
      <c r="D2" s="344"/>
      <c r="E2" s="344"/>
    </row>
    <row r="3" spans="1:15" ht="6" customHeight="1"/>
    <row r="4" spans="1:15" s="55" customFormat="1" ht="15.95" customHeight="1">
      <c r="A4" s="345" t="s">
        <v>0</v>
      </c>
      <c r="B4" s="31" t="s">
        <v>61</v>
      </c>
      <c r="C4" s="68" t="s">
        <v>62</v>
      </c>
      <c r="D4" s="353" t="s">
        <v>92</v>
      </c>
      <c r="E4" s="311" t="s">
        <v>1</v>
      </c>
      <c r="G4" s="67"/>
    </row>
    <row r="5" spans="1:15" s="55" customFormat="1" ht="15.75" customHeight="1">
      <c r="A5" s="346"/>
      <c r="B5" s="56" t="s">
        <v>49</v>
      </c>
      <c r="C5" s="56" t="s">
        <v>52</v>
      </c>
      <c r="D5" s="354"/>
      <c r="E5" s="348"/>
    </row>
    <row r="6" spans="1:15" s="55" customFormat="1" ht="39.950000000000003" customHeight="1">
      <c r="A6" s="347"/>
      <c r="B6" s="36" t="s">
        <v>127</v>
      </c>
      <c r="C6" s="36" t="s">
        <v>53</v>
      </c>
      <c r="D6" s="355"/>
      <c r="E6" s="349"/>
      <c r="I6" s="158"/>
      <c r="J6" s="158"/>
      <c r="K6" s="158"/>
    </row>
    <row r="7" spans="1:15" s="55" customFormat="1" ht="15.95" customHeight="1">
      <c r="A7" s="48" t="s">
        <v>47</v>
      </c>
      <c r="B7" s="208">
        <v>442261</v>
      </c>
      <c r="C7" s="208">
        <v>5453</v>
      </c>
      <c r="D7" s="207">
        <f>C7+B7</f>
        <v>447714</v>
      </c>
      <c r="E7" s="46" t="s">
        <v>25</v>
      </c>
      <c r="F7" s="60"/>
      <c r="G7" s="57"/>
      <c r="H7" s="200"/>
      <c r="I7" s="201"/>
      <c r="J7" s="59"/>
      <c r="K7" s="60"/>
      <c r="L7" s="60"/>
      <c r="M7" s="59"/>
      <c r="N7" s="155"/>
      <c r="O7" s="59"/>
    </row>
    <row r="8" spans="1:15" s="55" customFormat="1" ht="15.95" customHeight="1">
      <c r="A8" s="49" t="s">
        <v>32</v>
      </c>
      <c r="B8" s="57">
        <v>390811</v>
      </c>
      <c r="C8" s="57">
        <v>36</v>
      </c>
      <c r="D8" s="58">
        <f t="shared" ref="D8:D18" si="0">C8+B8</f>
        <v>390847</v>
      </c>
      <c r="E8" s="46" t="s">
        <v>13</v>
      </c>
      <c r="F8" s="60"/>
      <c r="G8" s="57"/>
      <c r="H8" s="200"/>
      <c r="I8" s="201"/>
      <c r="J8" s="59"/>
      <c r="K8" s="60"/>
      <c r="L8" s="60"/>
      <c r="M8" s="59"/>
      <c r="N8" s="155"/>
    </row>
    <row r="9" spans="1:15" s="55" customFormat="1" ht="15.95" customHeight="1">
      <c r="A9" s="49" t="s">
        <v>33</v>
      </c>
      <c r="B9" s="57">
        <v>345252</v>
      </c>
      <c r="C9" s="223">
        <v>0</v>
      </c>
      <c r="D9" s="58">
        <f t="shared" si="0"/>
        <v>345252</v>
      </c>
      <c r="E9" s="46" t="s">
        <v>14</v>
      </c>
      <c r="F9" s="60"/>
      <c r="G9" s="57"/>
      <c r="H9" s="200"/>
      <c r="I9" s="201"/>
      <c r="J9" s="59"/>
      <c r="K9" s="60"/>
      <c r="L9" s="60"/>
      <c r="M9" s="59"/>
      <c r="N9" s="155"/>
    </row>
    <row r="10" spans="1:15" s="55" customFormat="1" ht="15.95" customHeight="1">
      <c r="A10" s="49" t="s">
        <v>34</v>
      </c>
      <c r="B10" s="57">
        <v>323421</v>
      </c>
      <c r="C10" s="57">
        <v>17</v>
      </c>
      <c r="D10" s="58">
        <f t="shared" si="0"/>
        <v>323438</v>
      </c>
      <c r="E10" s="46" t="s">
        <v>15</v>
      </c>
      <c r="F10" s="60"/>
      <c r="G10" s="57"/>
      <c r="H10" s="200"/>
      <c r="I10" s="201"/>
      <c r="J10" s="59"/>
      <c r="K10" s="60"/>
      <c r="L10" s="60"/>
      <c r="M10" s="59"/>
      <c r="N10" s="155"/>
    </row>
    <row r="11" spans="1:15" s="55" customFormat="1" ht="15.95" customHeight="1">
      <c r="A11" s="49" t="s">
        <v>35</v>
      </c>
      <c r="B11" s="57">
        <v>306717</v>
      </c>
      <c r="C11" s="57">
        <v>1318</v>
      </c>
      <c r="D11" s="58">
        <f t="shared" si="0"/>
        <v>308035</v>
      </c>
      <c r="E11" s="46" t="s">
        <v>16</v>
      </c>
      <c r="F11" s="60"/>
      <c r="G11" s="57"/>
      <c r="H11" s="200"/>
      <c r="I11" s="201"/>
      <c r="J11" s="59"/>
      <c r="K11" s="60"/>
      <c r="L11" s="60"/>
      <c r="M11" s="59"/>
      <c r="N11" s="155"/>
      <c r="O11" s="59"/>
    </row>
    <row r="12" spans="1:15" s="55" customFormat="1" ht="15.95" customHeight="1">
      <c r="A12" s="49" t="s">
        <v>36</v>
      </c>
      <c r="B12" s="57">
        <v>306965</v>
      </c>
      <c r="C12" s="57">
        <v>81</v>
      </c>
      <c r="D12" s="58">
        <f t="shared" si="0"/>
        <v>307046</v>
      </c>
      <c r="E12" s="46" t="s">
        <v>17</v>
      </c>
      <c r="F12" s="60"/>
      <c r="G12" s="57"/>
      <c r="H12" s="200"/>
      <c r="I12" s="201"/>
      <c r="J12" s="59"/>
      <c r="K12" s="60"/>
      <c r="L12" s="60"/>
      <c r="M12" s="59"/>
      <c r="N12" s="155"/>
    </row>
    <row r="13" spans="1:15" s="55" customFormat="1" ht="15.95" customHeight="1">
      <c r="A13" s="49" t="s">
        <v>37</v>
      </c>
      <c r="B13" s="57">
        <v>327444</v>
      </c>
      <c r="C13" s="57">
        <v>8567</v>
      </c>
      <c r="D13" s="58">
        <f t="shared" si="0"/>
        <v>336011</v>
      </c>
      <c r="E13" s="46" t="s">
        <v>18</v>
      </c>
      <c r="F13" s="60"/>
      <c r="G13" s="57"/>
      <c r="H13" s="200"/>
      <c r="I13" s="201"/>
      <c r="J13" s="59"/>
      <c r="K13" s="60"/>
      <c r="L13" s="60"/>
      <c r="M13" s="59"/>
      <c r="N13" s="155"/>
    </row>
    <row r="14" spans="1:15" s="55" customFormat="1" ht="15.95" customHeight="1">
      <c r="A14" s="49" t="s">
        <v>38</v>
      </c>
      <c r="B14" s="57">
        <v>372159</v>
      </c>
      <c r="C14" s="57">
        <v>11650</v>
      </c>
      <c r="D14" s="58">
        <f t="shared" si="0"/>
        <v>383809</v>
      </c>
      <c r="E14" s="46" t="s">
        <v>19</v>
      </c>
      <c r="F14" s="60"/>
      <c r="G14" s="57"/>
      <c r="H14" s="200"/>
      <c r="I14" s="201"/>
      <c r="J14" s="59"/>
      <c r="K14" s="60"/>
      <c r="L14" s="60"/>
      <c r="M14" s="59"/>
      <c r="N14" s="155"/>
    </row>
    <row r="15" spans="1:15" s="55" customFormat="1" ht="15.95" customHeight="1">
      <c r="A15" s="49" t="s">
        <v>39</v>
      </c>
      <c r="B15" s="57">
        <v>347890</v>
      </c>
      <c r="C15" s="57">
        <v>7656</v>
      </c>
      <c r="D15" s="58">
        <f t="shared" si="0"/>
        <v>355546</v>
      </c>
      <c r="E15" s="46" t="s">
        <v>20</v>
      </c>
      <c r="F15" s="60"/>
      <c r="G15" s="57"/>
      <c r="H15" s="200"/>
      <c r="I15" s="201"/>
      <c r="J15" s="59"/>
      <c r="K15" s="60"/>
      <c r="L15" s="60"/>
      <c r="M15" s="59"/>
      <c r="N15" s="155"/>
    </row>
    <row r="16" spans="1:15" s="55" customFormat="1" ht="15.95" customHeight="1">
      <c r="A16" s="49" t="s">
        <v>48</v>
      </c>
      <c r="B16" s="57">
        <v>312849</v>
      </c>
      <c r="C16" s="57">
        <v>5170</v>
      </c>
      <c r="D16" s="58">
        <f t="shared" si="0"/>
        <v>318019</v>
      </c>
      <c r="E16" s="46" t="s">
        <v>21</v>
      </c>
      <c r="F16" s="60"/>
      <c r="G16" s="57"/>
      <c r="H16" s="200"/>
      <c r="I16" s="201"/>
      <c r="J16" s="59"/>
      <c r="K16" s="60"/>
      <c r="L16" s="60"/>
      <c r="M16" s="59"/>
      <c r="N16" s="155"/>
    </row>
    <row r="17" spans="1:14" s="55" customFormat="1" ht="15.95" customHeight="1">
      <c r="A17" s="49" t="s">
        <v>44</v>
      </c>
      <c r="B17" s="57">
        <v>322911</v>
      </c>
      <c r="C17" s="57">
        <v>175</v>
      </c>
      <c r="D17" s="58">
        <f t="shared" si="0"/>
        <v>323086</v>
      </c>
      <c r="E17" s="46" t="s">
        <v>22</v>
      </c>
      <c r="F17" s="60"/>
      <c r="G17" s="57"/>
      <c r="H17" s="200"/>
      <c r="I17" s="201"/>
      <c r="J17" s="59"/>
      <c r="K17" s="60"/>
      <c r="L17" s="60"/>
      <c r="M17" s="59"/>
      <c r="N17" s="155"/>
    </row>
    <row r="18" spans="1:14" s="55" customFormat="1" ht="15.95" customHeight="1">
      <c r="A18" s="49" t="s">
        <v>45</v>
      </c>
      <c r="B18" s="57">
        <v>441545</v>
      </c>
      <c r="C18" s="57">
        <v>1267</v>
      </c>
      <c r="D18" s="58">
        <f t="shared" si="0"/>
        <v>442812</v>
      </c>
      <c r="E18" s="46" t="s">
        <v>23</v>
      </c>
      <c r="F18" s="60"/>
      <c r="G18" s="57"/>
      <c r="H18" s="200"/>
      <c r="I18" s="201"/>
      <c r="J18" s="59"/>
      <c r="K18" s="60"/>
      <c r="L18" s="60"/>
      <c r="M18" s="59"/>
      <c r="N18" s="155"/>
    </row>
    <row r="19" spans="1:14" s="27" customFormat="1" ht="15.95" customHeight="1">
      <c r="A19" s="50" t="s">
        <v>40</v>
      </c>
      <c r="B19" s="168">
        <f>SUM(B7:B18)</f>
        <v>4240225</v>
      </c>
      <c r="C19" s="209">
        <f>SUM(C7:C18)</f>
        <v>41390</v>
      </c>
      <c r="D19" s="169">
        <f>C19+B19</f>
        <v>4281615</v>
      </c>
      <c r="E19" s="47" t="s">
        <v>31</v>
      </c>
      <c r="F19" s="60"/>
      <c r="G19" s="58"/>
      <c r="H19" s="58"/>
      <c r="I19" s="60"/>
      <c r="J19" s="157"/>
      <c r="K19" s="60"/>
      <c r="L19" s="60"/>
      <c r="M19" s="59"/>
      <c r="N19" s="156"/>
    </row>
    <row r="20" spans="1:14" s="27" customFormat="1" ht="15.95" customHeight="1">
      <c r="A20" s="180" t="s">
        <v>50</v>
      </c>
      <c r="B20" s="58"/>
      <c r="C20" s="58"/>
      <c r="D20" s="58"/>
      <c r="E20" s="70" t="s">
        <v>70</v>
      </c>
      <c r="F20" s="60"/>
      <c r="G20" s="58"/>
      <c r="H20" s="58"/>
      <c r="I20" s="60"/>
      <c r="J20" s="157"/>
      <c r="K20" s="60"/>
      <c r="L20" s="60"/>
      <c r="M20" s="59"/>
      <c r="N20" s="156"/>
    </row>
    <row r="21" spans="1:14" ht="36.75" customHeight="1">
      <c r="A21" s="317" t="s">
        <v>153</v>
      </c>
      <c r="B21" s="350"/>
      <c r="C21" s="351" t="s">
        <v>154</v>
      </c>
      <c r="D21" s="352"/>
      <c r="E21" s="352"/>
    </row>
    <row r="22" spans="1:14">
      <c r="B22" s="62"/>
      <c r="C22" s="8"/>
      <c r="D22" s="8"/>
      <c r="E22" s="149"/>
      <c r="F22" s="149"/>
      <c r="G22" s="149"/>
      <c r="H22" s="149"/>
    </row>
    <row r="23" spans="1:14">
      <c r="B23" s="63"/>
      <c r="C23" s="57"/>
      <c r="D23" s="58"/>
    </row>
    <row r="24" spans="1:14">
      <c r="B24" s="63"/>
      <c r="C24" s="57"/>
      <c r="D24" s="58"/>
    </row>
    <row r="25" spans="1:14">
      <c r="B25" s="63"/>
      <c r="C25" s="57"/>
      <c r="D25" s="58"/>
    </row>
    <row r="26" spans="1:14">
      <c r="B26" s="63"/>
      <c r="C26" s="57"/>
      <c r="D26" s="58"/>
    </row>
    <row r="27" spans="1:14">
      <c r="B27" s="63"/>
      <c r="C27" s="57"/>
      <c r="D27" s="58"/>
    </row>
    <row r="28" spans="1:14">
      <c r="B28" s="63"/>
      <c r="C28" s="57"/>
      <c r="D28" s="58"/>
    </row>
    <row r="29" spans="1:14">
      <c r="B29" s="63"/>
      <c r="C29" s="57"/>
      <c r="D29" s="58"/>
    </row>
    <row r="30" spans="1:14">
      <c r="B30" s="63"/>
      <c r="C30" s="57"/>
      <c r="D30" s="58"/>
    </row>
    <row r="31" spans="1:14">
      <c r="B31" s="63"/>
      <c r="C31" s="57"/>
      <c r="D31" s="58"/>
    </row>
    <row r="32" spans="1:14">
      <c r="B32" s="63"/>
      <c r="C32" s="57"/>
      <c r="D32" s="58"/>
    </row>
    <row r="33" spans="2:4">
      <c r="B33" s="63"/>
      <c r="C33" s="57"/>
      <c r="D33" s="58"/>
    </row>
    <row r="34" spans="2:4">
      <c r="B34" s="63"/>
      <c r="C34" s="57"/>
      <c r="D34" s="58"/>
    </row>
    <row r="35" spans="2:4">
      <c r="B35" s="63"/>
      <c r="C35" s="63"/>
      <c r="D35" s="63"/>
    </row>
    <row r="36" spans="2:4">
      <c r="B36" s="63"/>
    </row>
    <row r="37" spans="2:4">
      <c r="B37" s="63"/>
    </row>
  </sheetData>
  <mergeCells count="7">
    <mergeCell ref="A1:E1"/>
    <mergeCell ref="A2:E2"/>
    <mergeCell ref="A4:A6"/>
    <mergeCell ref="E4:E6"/>
    <mergeCell ref="A21:B21"/>
    <mergeCell ref="C21:E21"/>
    <mergeCell ref="D4:D6"/>
  </mergeCells>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worksheet>
</file>

<file path=xl/worksheets/sheet5.xml><?xml version="1.0" encoding="utf-8"?>
<worksheet xmlns="http://schemas.openxmlformats.org/spreadsheetml/2006/main" xmlns:r="http://schemas.openxmlformats.org/officeDocument/2006/relationships">
  <dimension ref="A1:R37"/>
  <sheetViews>
    <sheetView rightToLeft="1" view="pageBreakPreview" zoomScaleNormal="100" zoomScaleSheetLayoutView="100" workbookViewId="0">
      <selection activeCell="Q15" sqref="Q15"/>
    </sheetView>
  </sheetViews>
  <sheetFormatPr defaultRowHeight="12.75"/>
  <cols>
    <col min="1" max="1" width="15.42578125" style="1" customWidth="1"/>
    <col min="2" max="2" width="16" style="1" customWidth="1"/>
    <col min="3" max="3" width="14.7109375" style="1" customWidth="1"/>
    <col min="4" max="4" width="13.5703125" style="1" customWidth="1"/>
    <col min="5" max="5" width="15.7109375" style="1" customWidth="1"/>
    <col min="6" max="6" width="16.85546875" style="1" customWidth="1"/>
    <col min="7" max="7" width="17.42578125" style="1" customWidth="1"/>
    <col min="8" max="8" width="12.140625" style="1" bestFit="1" customWidth="1"/>
    <col min="9" max="9" width="13.5703125" style="1" customWidth="1"/>
    <col min="10" max="10" width="10.42578125" style="1" bestFit="1" customWidth="1"/>
    <col min="11" max="11" width="10.5703125" style="1" customWidth="1"/>
    <col min="12" max="12" width="9.28515625" style="1" bestFit="1" customWidth="1"/>
    <col min="13" max="13" width="10.42578125" style="1" customWidth="1"/>
    <col min="14" max="14" width="11.140625" style="1" customWidth="1"/>
    <col min="15" max="15" width="9.28515625" style="1" bestFit="1" customWidth="1"/>
    <col min="16" max="16384" width="9.140625" style="1"/>
  </cols>
  <sheetData>
    <row r="1" spans="1:18" ht="21" customHeight="1">
      <c r="A1" s="309" t="s">
        <v>156</v>
      </c>
      <c r="B1" s="309"/>
      <c r="C1" s="309"/>
      <c r="D1" s="309"/>
      <c r="E1" s="309"/>
      <c r="F1" s="309"/>
      <c r="G1" s="309"/>
    </row>
    <row r="2" spans="1:18" ht="30" customHeight="1">
      <c r="A2" s="344" t="s">
        <v>157</v>
      </c>
      <c r="B2" s="344"/>
      <c r="C2" s="344"/>
      <c r="D2" s="344"/>
      <c r="E2" s="344"/>
      <c r="F2" s="344"/>
      <c r="G2" s="344"/>
    </row>
    <row r="3" spans="1:18" ht="6" customHeight="1"/>
    <row r="4" spans="1:18" s="55" customFormat="1" ht="15.95" customHeight="1">
      <c r="A4" s="345" t="s">
        <v>0</v>
      </c>
      <c r="B4" s="179" t="s">
        <v>61</v>
      </c>
      <c r="C4" s="75"/>
      <c r="D4" s="75"/>
      <c r="E4" s="76" t="s">
        <v>62</v>
      </c>
      <c r="F4" s="353" t="s">
        <v>92</v>
      </c>
      <c r="G4" s="311" t="s">
        <v>1</v>
      </c>
    </row>
    <row r="5" spans="1:18" s="55" customFormat="1" ht="15.75" customHeight="1">
      <c r="A5" s="358"/>
      <c r="B5" s="179" t="s">
        <v>76</v>
      </c>
      <c r="C5" s="75"/>
      <c r="D5" s="194" t="s">
        <v>101</v>
      </c>
      <c r="E5" s="366" t="s">
        <v>105</v>
      </c>
      <c r="F5" s="364"/>
      <c r="G5" s="361"/>
    </row>
    <row r="6" spans="1:18" s="55" customFormat="1" ht="32.1" customHeight="1">
      <c r="A6" s="359"/>
      <c r="B6" s="56" t="s">
        <v>49</v>
      </c>
      <c r="C6" s="56" t="s">
        <v>51</v>
      </c>
      <c r="D6" s="353" t="s">
        <v>92</v>
      </c>
      <c r="E6" s="367"/>
      <c r="F6" s="354"/>
      <c r="G6" s="362"/>
    </row>
    <row r="7" spans="1:18" s="55" customFormat="1" ht="39.950000000000003" customHeight="1">
      <c r="A7" s="360"/>
      <c r="B7" s="36" t="s">
        <v>127</v>
      </c>
      <c r="C7" s="36" t="s">
        <v>54</v>
      </c>
      <c r="D7" s="365"/>
      <c r="E7" s="197" t="s">
        <v>98</v>
      </c>
      <c r="F7" s="355"/>
      <c r="G7" s="363"/>
    </row>
    <row r="8" spans="1:18" s="55" customFormat="1" ht="15.95" customHeight="1">
      <c r="A8" s="48" t="s">
        <v>47</v>
      </c>
      <c r="B8" s="174">
        <v>72365</v>
      </c>
      <c r="C8" s="174">
        <v>18083</v>
      </c>
      <c r="D8" s="198">
        <f t="shared" ref="D8:D19" si="0">SUM(B8:C8)</f>
        <v>90448</v>
      </c>
      <c r="E8" s="174">
        <v>31889</v>
      </c>
      <c r="F8" s="228">
        <f t="shared" ref="F8:F19" si="1">C8+E8+B8</f>
        <v>122337</v>
      </c>
      <c r="G8" s="176" t="s">
        <v>25</v>
      </c>
      <c r="H8" s="59"/>
      <c r="I8" s="59">
        <f>D8+'كهرباء 1'!D7</f>
        <v>538162</v>
      </c>
      <c r="J8" s="59"/>
      <c r="K8" s="59"/>
      <c r="L8" s="60"/>
      <c r="M8" s="60"/>
      <c r="N8" s="60"/>
      <c r="O8" s="60"/>
      <c r="P8" s="60"/>
      <c r="Q8" s="59"/>
      <c r="R8" s="59"/>
    </row>
    <row r="9" spans="1:18" s="55" customFormat="1" ht="15.95" customHeight="1">
      <c r="A9" s="49" t="s">
        <v>32</v>
      </c>
      <c r="B9" s="86">
        <v>67527</v>
      </c>
      <c r="C9" s="86">
        <v>18083</v>
      </c>
      <c r="D9" s="199">
        <f t="shared" si="0"/>
        <v>85610</v>
      </c>
      <c r="E9" s="86">
        <v>32694</v>
      </c>
      <c r="F9" s="229">
        <f t="shared" si="1"/>
        <v>118304</v>
      </c>
      <c r="G9" s="46" t="s">
        <v>13</v>
      </c>
      <c r="H9" s="59"/>
      <c r="I9" s="59">
        <f>D9+'كهرباء 1'!D8</f>
        <v>476457</v>
      </c>
      <c r="J9" s="59"/>
      <c r="K9" s="59"/>
      <c r="L9" s="60"/>
      <c r="M9" s="60"/>
      <c r="N9" s="60"/>
      <c r="O9" s="60"/>
      <c r="P9" s="60"/>
    </row>
    <row r="10" spans="1:18" s="55" customFormat="1" ht="15.95" customHeight="1">
      <c r="A10" s="49" t="s">
        <v>33</v>
      </c>
      <c r="B10" s="86">
        <v>78827</v>
      </c>
      <c r="C10" s="86">
        <v>18083</v>
      </c>
      <c r="D10" s="199">
        <f t="shared" si="0"/>
        <v>96910</v>
      </c>
      <c r="E10" s="86">
        <v>7512</v>
      </c>
      <c r="F10" s="229">
        <f t="shared" si="1"/>
        <v>104422</v>
      </c>
      <c r="G10" s="46" t="s">
        <v>14</v>
      </c>
      <c r="H10" s="59"/>
      <c r="I10" s="59">
        <f>D10+'كهرباء 1'!D9</f>
        <v>442162</v>
      </c>
      <c r="J10" s="59"/>
      <c r="K10" s="59"/>
      <c r="L10" s="60"/>
      <c r="M10" s="60"/>
      <c r="N10" s="60"/>
      <c r="O10" s="60"/>
      <c r="P10" s="60"/>
    </row>
    <row r="11" spans="1:18" s="55" customFormat="1" ht="15.95" customHeight="1">
      <c r="A11" s="49" t="s">
        <v>34</v>
      </c>
      <c r="B11" s="86">
        <v>78146</v>
      </c>
      <c r="C11" s="86">
        <v>18083</v>
      </c>
      <c r="D11" s="199">
        <f t="shared" si="0"/>
        <v>96229</v>
      </c>
      <c r="E11" s="86">
        <v>27159</v>
      </c>
      <c r="F11" s="229">
        <f t="shared" si="1"/>
        <v>123388</v>
      </c>
      <c r="G11" s="46" t="s">
        <v>15</v>
      </c>
      <c r="H11" s="59"/>
      <c r="I11" s="59">
        <f>D11+'كهرباء 1'!D10</f>
        <v>419667</v>
      </c>
      <c r="J11" s="59"/>
      <c r="K11" s="59"/>
      <c r="L11" s="60"/>
      <c r="M11" s="60"/>
      <c r="N11" s="60"/>
      <c r="O11" s="60"/>
      <c r="P11" s="60"/>
    </row>
    <row r="12" spans="1:18" s="55" customFormat="1" ht="15.95" customHeight="1">
      <c r="A12" s="49" t="s">
        <v>35</v>
      </c>
      <c r="B12" s="86">
        <v>79268</v>
      </c>
      <c r="C12" s="86">
        <v>18083</v>
      </c>
      <c r="D12" s="199">
        <f t="shared" si="0"/>
        <v>97351</v>
      </c>
      <c r="E12" s="86">
        <v>33578</v>
      </c>
      <c r="F12" s="229">
        <f t="shared" si="1"/>
        <v>130929</v>
      </c>
      <c r="G12" s="46" t="s">
        <v>16</v>
      </c>
      <c r="H12" s="59"/>
      <c r="I12" s="59">
        <f>D12+'كهرباء 1'!D11</f>
        <v>405386</v>
      </c>
      <c r="J12" s="59"/>
      <c r="K12" s="59"/>
      <c r="L12" s="60"/>
      <c r="M12" s="60"/>
      <c r="N12" s="60"/>
      <c r="O12" s="60"/>
      <c r="P12" s="60"/>
    </row>
    <row r="13" spans="1:18" s="55" customFormat="1" ht="15.95" customHeight="1">
      <c r="A13" s="49" t="s">
        <v>36</v>
      </c>
      <c r="B13" s="86">
        <v>79496</v>
      </c>
      <c r="C13" s="86">
        <v>18083</v>
      </c>
      <c r="D13" s="199">
        <f t="shared" si="0"/>
        <v>97579</v>
      </c>
      <c r="E13" s="86">
        <v>31880</v>
      </c>
      <c r="F13" s="229">
        <f t="shared" si="1"/>
        <v>129459</v>
      </c>
      <c r="G13" s="46" t="s">
        <v>17</v>
      </c>
      <c r="H13" s="59"/>
      <c r="I13" s="59">
        <f>D13+'كهرباء 1'!D12</f>
        <v>404625</v>
      </c>
      <c r="J13" s="59"/>
      <c r="K13" s="59"/>
      <c r="L13" s="60"/>
      <c r="M13" s="60"/>
      <c r="N13" s="60"/>
      <c r="O13" s="60"/>
      <c r="P13" s="60"/>
    </row>
    <row r="14" spans="1:18" s="55" customFormat="1" ht="15.95" customHeight="1">
      <c r="A14" s="49" t="s">
        <v>37</v>
      </c>
      <c r="B14" s="86">
        <v>79190</v>
      </c>
      <c r="C14" s="86">
        <v>18083</v>
      </c>
      <c r="D14" s="199">
        <f t="shared" si="0"/>
        <v>97273</v>
      </c>
      <c r="E14" s="86">
        <v>23874</v>
      </c>
      <c r="F14" s="229">
        <f t="shared" si="1"/>
        <v>121147</v>
      </c>
      <c r="G14" s="46" t="s">
        <v>18</v>
      </c>
      <c r="H14" s="59"/>
      <c r="I14" s="59">
        <f>D14+'كهرباء 1'!D13</f>
        <v>433284</v>
      </c>
      <c r="J14" s="59"/>
      <c r="K14" s="59"/>
      <c r="L14" s="60"/>
      <c r="M14" s="60"/>
      <c r="N14" s="60"/>
      <c r="O14" s="60"/>
      <c r="P14" s="60"/>
    </row>
    <row r="15" spans="1:18" s="55" customFormat="1" ht="15.95" customHeight="1">
      <c r="A15" s="49" t="s">
        <v>38</v>
      </c>
      <c r="B15" s="86">
        <v>80580</v>
      </c>
      <c r="C15" s="86">
        <v>18083</v>
      </c>
      <c r="D15" s="199">
        <f t="shared" si="0"/>
        <v>98663</v>
      </c>
      <c r="E15" s="86">
        <v>36209</v>
      </c>
      <c r="F15" s="229">
        <f t="shared" si="1"/>
        <v>134872</v>
      </c>
      <c r="G15" s="46" t="s">
        <v>19</v>
      </c>
      <c r="H15" s="59"/>
      <c r="I15" s="59">
        <f>D15+'كهرباء 1'!D14</f>
        <v>482472</v>
      </c>
      <c r="J15" s="59"/>
      <c r="K15" s="59"/>
      <c r="L15" s="60"/>
      <c r="M15" s="60"/>
      <c r="N15" s="60"/>
      <c r="O15" s="60"/>
      <c r="P15" s="60"/>
    </row>
    <row r="16" spans="1:18" s="55" customFormat="1" ht="15.95" customHeight="1">
      <c r="A16" s="49" t="s">
        <v>39</v>
      </c>
      <c r="B16" s="86">
        <v>77777</v>
      </c>
      <c r="C16" s="86">
        <v>7863</v>
      </c>
      <c r="D16" s="199">
        <f t="shared" si="0"/>
        <v>85640</v>
      </c>
      <c r="E16" s="86">
        <v>32011</v>
      </c>
      <c r="F16" s="229">
        <f t="shared" si="1"/>
        <v>117651</v>
      </c>
      <c r="G16" s="46" t="s">
        <v>20</v>
      </c>
      <c r="H16" s="59"/>
      <c r="I16" s="59">
        <f>D16+'كهرباء 1'!D15</f>
        <v>441186</v>
      </c>
      <c r="J16" s="59"/>
      <c r="K16" s="59"/>
      <c r="L16" s="60"/>
      <c r="M16" s="60"/>
      <c r="N16" s="60"/>
      <c r="O16" s="60"/>
      <c r="P16" s="60"/>
    </row>
    <row r="17" spans="1:16" s="55" customFormat="1" ht="15.95" customHeight="1">
      <c r="A17" s="49" t="s">
        <v>48</v>
      </c>
      <c r="B17" s="86">
        <v>80041</v>
      </c>
      <c r="C17" s="86">
        <v>12850</v>
      </c>
      <c r="D17" s="199">
        <f t="shared" si="0"/>
        <v>92891</v>
      </c>
      <c r="E17" s="86">
        <v>31180</v>
      </c>
      <c r="F17" s="229">
        <f t="shared" si="1"/>
        <v>124071</v>
      </c>
      <c r="G17" s="46" t="s">
        <v>21</v>
      </c>
      <c r="H17" s="59"/>
      <c r="I17" s="59">
        <f>D17+'كهرباء 1'!D16</f>
        <v>410910</v>
      </c>
      <c r="J17" s="59"/>
      <c r="K17" s="59"/>
      <c r="L17" s="60"/>
      <c r="M17" s="60"/>
      <c r="N17" s="60"/>
      <c r="O17" s="60"/>
      <c r="P17" s="60"/>
    </row>
    <row r="18" spans="1:16" s="55" customFormat="1" ht="15.95" customHeight="1">
      <c r="A18" s="49" t="s">
        <v>44</v>
      </c>
      <c r="B18" s="86">
        <v>80523</v>
      </c>
      <c r="C18" s="86">
        <v>11928</v>
      </c>
      <c r="D18" s="199">
        <f t="shared" si="0"/>
        <v>92451</v>
      </c>
      <c r="E18" s="86">
        <v>28386</v>
      </c>
      <c r="F18" s="229">
        <f t="shared" si="1"/>
        <v>120837</v>
      </c>
      <c r="G18" s="46" t="s">
        <v>22</v>
      </c>
      <c r="H18" s="59"/>
      <c r="I18" s="59">
        <f>D18+'كهرباء 1'!D17</f>
        <v>415537</v>
      </c>
      <c r="J18" s="59"/>
      <c r="K18" s="59"/>
      <c r="L18" s="60"/>
      <c r="M18" s="60"/>
      <c r="N18" s="60"/>
      <c r="O18" s="60"/>
      <c r="P18" s="60"/>
    </row>
    <row r="19" spans="1:16" s="55" customFormat="1" ht="15.95" customHeight="1">
      <c r="A19" s="49" t="s">
        <v>45</v>
      </c>
      <c r="B19" s="86">
        <v>87542</v>
      </c>
      <c r="C19" s="86">
        <v>12886</v>
      </c>
      <c r="D19" s="199">
        <f t="shared" si="0"/>
        <v>100428</v>
      </c>
      <c r="E19" s="86">
        <v>38598</v>
      </c>
      <c r="F19" s="229">
        <f t="shared" si="1"/>
        <v>139026</v>
      </c>
      <c r="G19" s="46" t="s">
        <v>23</v>
      </c>
      <c r="H19" s="59"/>
      <c r="I19" s="59">
        <f>D19+'كهرباء 1'!D18</f>
        <v>543240</v>
      </c>
      <c r="J19" s="59"/>
      <c r="K19" s="59"/>
      <c r="L19" s="60"/>
      <c r="M19" s="60"/>
      <c r="N19" s="60"/>
      <c r="O19" s="60"/>
      <c r="P19" s="60"/>
    </row>
    <row r="20" spans="1:16" s="27" customFormat="1" ht="15.95" customHeight="1">
      <c r="A20" s="50" t="s">
        <v>40</v>
      </c>
      <c r="B20" s="88">
        <f>B19+B18+B17+B16+B15+B14+B13+B12+B11+B10+B9+B8</f>
        <v>941282</v>
      </c>
      <c r="C20" s="88">
        <f>SUM(C8:C19)</f>
        <v>190191</v>
      </c>
      <c r="D20" s="183">
        <f t="shared" ref="D20" si="2">SUM(B20:C20)</f>
        <v>1131473</v>
      </c>
      <c r="E20" s="88">
        <f>E19+E18+E17+E16+E15+E14+E13+E12+E11+E10+E9+E8</f>
        <v>354970</v>
      </c>
      <c r="F20" s="230">
        <f>SUM(F8:F19)</f>
        <v>1486443</v>
      </c>
      <c r="G20" s="47" t="s">
        <v>31</v>
      </c>
      <c r="H20" s="59"/>
      <c r="I20" s="60"/>
      <c r="J20" s="60"/>
      <c r="K20" s="60"/>
      <c r="L20" s="60"/>
      <c r="M20" s="60"/>
      <c r="N20" s="60"/>
      <c r="O20" s="61"/>
      <c r="P20" s="61"/>
    </row>
    <row r="21" spans="1:16" ht="33" customHeight="1">
      <c r="A21" s="317" t="s">
        <v>153</v>
      </c>
      <c r="B21" s="317"/>
      <c r="C21" s="317"/>
      <c r="D21" s="317"/>
      <c r="E21" s="356" t="s">
        <v>155</v>
      </c>
      <c r="F21" s="356"/>
      <c r="G21" s="357"/>
      <c r="I21" s="163"/>
    </row>
    <row r="22" spans="1:16">
      <c r="B22" s="62"/>
      <c r="C22" s="8"/>
      <c r="D22" s="8"/>
      <c r="E22" s="8"/>
      <c r="F22" s="8"/>
    </row>
    <row r="23" spans="1:16">
      <c r="B23" s="63"/>
      <c r="C23" s="57"/>
      <c r="D23" s="57"/>
      <c r="E23" s="58"/>
      <c r="F23" s="57"/>
      <c r="G23" s="149"/>
      <c r="H23" s="149"/>
      <c r="I23" s="149"/>
    </row>
    <row r="24" spans="1:16">
      <c r="B24" s="63"/>
      <c r="C24" s="57"/>
      <c r="D24" s="57"/>
      <c r="E24" s="58"/>
      <c r="F24" s="57"/>
    </row>
    <row r="25" spans="1:16">
      <c r="B25" s="63"/>
      <c r="C25" s="57"/>
      <c r="D25" s="57"/>
      <c r="E25" s="58"/>
      <c r="F25" s="57"/>
    </row>
    <row r="26" spans="1:16">
      <c r="B26" s="63"/>
      <c r="C26" s="57"/>
      <c r="D26" s="57"/>
      <c r="E26" s="58"/>
      <c r="F26" s="57"/>
    </row>
    <row r="27" spans="1:16">
      <c r="B27" s="63"/>
      <c r="C27" s="57"/>
      <c r="D27" s="57"/>
      <c r="E27" s="58"/>
      <c r="F27" s="57"/>
    </row>
    <row r="28" spans="1:16">
      <c r="B28" s="63"/>
      <c r="C28" s="57"/>
      <c r="D28" s="57"/>
      <c r="E28" s="58"/>
      <c r="F28" s="57"/>
    </row>
    <row r="29" spans="1:16">
      <c r="B29" s="63"/>
      <c r="C29" s="57"/>
      <c r="D29" s="57"/>
      <c r="E29" s="58"/>
      <c r="F29" s="57"/>
    </row>
    <row r="30" spans="1:16">
      <c r="B30" s="63"/>
      <c r="C30" s="57"/>
      <c r="D30" s="57"/>
      <c r="E30" s="58"/>
      <c r="F30" s="57"/>
    </row>
    <row r="31" spans="1:16">
      <c r="B31" s="63"/>
      <c r="C31" s="57"/>
      <c r="D31" s="57"/>
      <c r="E31" s="58"/>
      <c r="F31" s="57"/>
    </row>
    <row r="32" spans="1:16">
      <c r="B32" s="63"/>
      <c r="C32" s="57"/>
      <c r="D32" s="57"/>
      <c r="E32" s="58"/>
      <c r="F32" s="57"/>
    </row>
    <row r="33" spans="2:6">
      <c r="B33" s="63"/>
      <c r="C33" s="57"/>
      <c r="D33" s="57"/>
      <c r="E33" s="58"/>
      <c r="F33" s="57"/>
    </row>
    <row r="34" spans="2:6">
      <c r="B34" s="63"/>
      <c r="C34" s="57"/>
      <c r="D34" s="57"/>
      <c r="E34" s="58"/>
      <c r="F34" s="57"/>
    </row>
    <row r="35" spans="2:6">
      <c r="B35" s="63"/>
      <c r="C35" s="63"/>
      <c r="D35" s="63"/>
      <c r="E35" s="63"/>
      <c r="F35" s="63"/>
    </row>
    <row r="36" spans="2:6">
      <c r="B36" s="63"/>
    </row>
    <row r="37" spans="2:6">
      <c r="B37" s="63"/>
    </row>
  </sheetData>
  <mergeCells count="9">
    <mergeCell ref="E21:G21"/>
    <mergeCell ref="A1:G1"/>
    <mergeCell ref="A2:G2"/>
    <mergeCell ref="A4:A7"/>
    <mergeCell ref="G4:G7"/>
    <mergeCell ref="F4:F7"/>
    <mergeCell ref="D6:D7"/>
    <mergeCell ref="E5:E6"/>
    <mergeCell ref="A21:D21"/>
  </mergeCells>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worksheet>
</file>

<file path=xl/worksheets/sheet6.xml><?xml version="1.0" encoding="utf-8"?>
<worksheet xmlns="http://schemas.openxmlformats.org/spreadsheetml/2006/main" xmlns:r="http://schemas.openxmlformats.org/officeDocument/2006/relationships">
  <dimension ref="A1:S38"/>
  <sheetViews>
    <sheetView rightToLeft="1" view="pageBreakPreview" zoomScaleNormal="100" zoomScaleSheetLayoutView="100" workbookViewId="0">
      <selection activeCell="Q15" sqref="Q15"/>
    </sheetView>
  </sheetViews>
  <sheetFormatPr defaultRowHeight="12.75"/>
  <cols>
    <col min="1" max="1" width="13" style="1" customWidth="1"/>
    <col min="2" max="2" width="15" style="1" customWidth="1"/>
    <col min="3" max="3" width="13" style="1" customWidth="1"/>
    <col min="4" max="4" width="12.28515625" style="1" customWidth="1"/>
    <col min="5" max="6" width="17.7109375" style="1" customWidth="1"/>
    <col min="7" max="7" width="14.28515625" style="1" customWidth="1"/>
    <col min="8" max="8" width="12.42578125" style="1" customWidth="1"/>
    <col min="9" max="9" width="12.140625" style="1" bestFit="1" customWidth="1"/>
    <col min="10" max="11" width="14" style="1" customWidth="1"/>
    <col min="12" max="12" width="14.42578125" style="1" customWidth="1"/>
    <col min="13" max="13" width="13.28515625" style="1" customWidth="1"/>
    <col min="14" max="14" width="10.42578125" style="1" customWidth="1"/>
    <col min="15" max="15" width="11.140625" style="1" customWidth="1"/>
    <col min="16" max="16" width="9.28515625" style="1" bestFit="1" customWidth="1"/>
    <col min="17" max="16384" width="9.140625" style="1"/>
  </cols>
  <sheetData>
    <row r="1" spans="1:19" ht="17.100000000000001" customHeight="1">
      <c r="A1" s="309" t="s">
        <v>168</v>
      </c>
      <c r="B1" s="309"/>
      <c r="C1" s="309"/>
      <c r="D1" s="309"/>
      <c r="E1" s="309"/>
      <c r="F1" s="309"/>
      <c r="G1" s="309"/>
      <c r="H1" s="309"/>
    </row>
    <row r="2" spans="1:19" ht="33.75" customHeight="1">
      <c r="A2" s="344" t="s">
        <v>169</v>
      </c>
      <c r="B2" s="344"/>
      <c r="C2" s="344"/>
      <c r="D2" s="344"/>
      <c r="E2" s="344"/>
      <c r="F2" s="344"/>
      <c r="G2" s="344"/>
      <c r="H2" s="344"/>
    </row>
    <row r="3" spans="1:19" ht="6" customHeight="1"/>
    <row r="4" spans="1:19" s="55" customFormat="1" ht="15.95" customHeight="1">
      <c r="A4" s="345" t="s">
        <v>0</v>
      </c>
      <c r="B4" s="179" t="s">
        <v>61</v>
      </c>
      <c r="C4" s="170"/>
      <c r="D4" s="170"/>
      <c r="E4" s="187"/>
      <c r="F4" s="188" t="s">
        <v>62</v>
      </c>
      <c r="G4" s="345" t="s">
        <v>92</v>
      </c>
      <c r="H4" s="371" t="s">
        <v>1</v>
      </c>
    </row>
    <row r="5" spans="1:19" s="55" customFormat="1" ht="15.75" customHeight="1">
      <c r="A5" s="358"/>
      <c r="B5" s="179" t="s">
        <v>76</v>
      </c>
      <c r="C5" s="75"/>
      <c r="E5" s="194" t="s">
        <v>101</v>
      </c>
      <c r="F5" s="366" t="s">
        <v>105</v>
      </c>
      <c r="G5" s="358"/>
      <c r="H5" s="372"/>
    </row>
    <row r="6" spans="1:19" s="55" customFormat="1" ht="32.1" customHeight="1">
      <c r="A6" s="358"/>
      <c r="B6" s="35" t="s">
        <v>49</v>
      </c>
      <c r="C6" s="35" t="s">
        <v>51</v>
      </c>
      <c r="D6" s="35" t="s">
        <v>52</v>
      </c>
      <c r="E6" s="353" t="s">
        <v>92</v>
      </c>
      <c r="F6" s="367"/>
      <c r="G6" s="354"/>
      <c r="H6" s="373"/>
    </row>
    <row r="7" spans="1:19" s="55" customFormat="1" ht="39.950000000000003" customHeight="1">
      <c r="A7" s="370"/>
      <c r="B7" s="64" t="s">
        <v>127</v>
      </c>
      <c r="C7" s="64" t="s">
        <v>54</v>
      </c>
      <c r="D7" s="64" t="s">
        <v>53</v>
      </c>
      <c r="E7" s="365"/>
      <c r="F7" s="239" t="s">
        <v>98</v>
      </c>
      <c r="G7" s="355"/>
      <c r="H7" s="374"/>
      <c r="K7" s="158"/>
    </row>
    <row r="8" spans="1:19" s="55" customFormat="1" ht="15.95" customHeight="1">
      <c r="A8" s="48" t="s">
        <v>47</v>
      </c>
      <c r="B8" s="174">
        <f>'كهرباء 2'!B8+'كهرباء 1'!B7</f>
        <v>514626</v>
      </c>
      <c r="C8" s="174">
        <f>'كهرباء 2'!C8</f>
        <v>18083</v>
      </c>
      <c r="D8" s="174">
        <f>'كهرباء 1'!C7</f>
        <v>5453</v>
      </c>
      <c r="E8" s="175">
        <f t="shared" ref="E8:E19" si="0">SUM(B8:D8)</f>
        <v>538162</v>
      </c>
      <c r="F8" s="175">
        <f>'كهرباء 2'!E8</f>
        <v>31889</v>
      </c>
      <c r="G8" s="236">
        <f t="shared" ref="G8:G20" si="1">D8+C8+F8+B8</f>
        <v>570051</v>
      </c>
      <c r="H8" s="65" t="s">
        <v>25</v>
      </c>
      <c r="I8" s="59"/>
      <c r="J8" s="60"/>
      <c r="K8" s="59"/>
      <c r="L8" s="60"/>
      <c r="M8" s="59"/>
      <c r="N8" s="59"/>
      <c r="O8" s="59"/>
      <c r="P8" s="60"/>
      <c r="Q8" s="60"/>
      <c r="R8" s="59"/>
      <c r="S8" s="59"/>
    </row>
    <row r="9" spans="1:19" s="55" customFormat="1" ht="15.95" customHeight="1">
      <c r="A9" s="49" t="s">
        <v>32</v>
      </c>
      <c r="B9" s="86">
        <f>'كهرباء 2'!B9+'كهرباء 1'!B8</f>
        <v>458338</v>
      </c>
      <c r="C9" s="86">
        <f>'كهرباء 2'!C9</f>
        <v>18083</v>
      </c>
      <c r="D9" s="86">
        <f>'كهرباء 1'!C8</f>
        <v>36</v>
      </c>
      <c r="E9" s="87">
        <f t="shared" si="0"/>
        <v>476457</v>
      </c>
      <c r="F9" s="87">
        <f>'كهرباء 2'!E9</f>
        <v>32694</v>
      </c>
      <c r="G9" s="237">
        <f t="shared" si="1"/>
        <v>509151</v>
      </c>
      <c r="H9" s="65" t="s">
        <v>13</v>
      </c>
      <c r="I9" s="59"/>
      <c r="J9" s="60"/>
      <c r="K9" s="59"/>
      <c r="L9" s="60"/>
      <c r="M9" s="59"/>
      <c r="N9" s="59"/>
      <c r="O9" s="59"/>
      <c r="P9" s="60"/>
      <c r="Q9" s="60"/>
    </row>
    <row r="10" spans="1:19" s="55" customFormat="1" ht="15.95" customHeight="1">
      <c r="A10" s="49" t="s">
        <v>33</v>
      </c>
      <c r="B10" s="86">
        <f>'كهرباء 2'!B10+'كهرباء 1'!B9</f>
        <v>424079</v>
      </c>
      <c r="C10" s="86">
        <f>'كهرباء 2'!C10</f>
        <v>18083</v>
      </c>
      <c r="D10" s="226">
        <f>'كهرباء 1'!C9</f>
        <v>0</v>
      </c>
      <c r="E10" s="87">
        <f t="shared" si="0"/>
        <v>442162</v>
      </c>
      <c r="F10" s="87">
        <f>'كهرباء 2'!E10</f>
        <v>7512</v>
      </c>
      <c r="G10" s="237">
        <f t="shared" si="1"/>
        <v>449674</v>
      </c>
      <c r="H10" s="65" t="s">
        <v>14</v>
      </c>
      <c r="I10" s="59"/>
      <c r="J10" s="60"/>
      <c r="K10" s="59"/>
      <c r="L10" s="60"/>
      <c r="M10" s="59"/>
      <c r="N10" s="59"/>
      <c r="O10" s="59"/>
      <c r="P10" s="60"/>
      <c r="Q10" s="60"/>
    </row>
    <row r="11" spans="1:19" s="55" customFormat="1" ht="15.95" customHeight="1">
      <c r="A11" s="49" t="s">
        <v>34</v>
      </c>
      <c r="B11" s="86">
        <f>'كهرباء 2'!B11+'كهرباء 1'!B10</f>
        <v>401567</v>
      </c>
      <c r="C11" s="86">
        <f>'كهرباء 2'!C11</f>
        <v>18083</v>
      </c>
      <c r="D11" s="86">
        <f>'كهرباء 1'!C10</f>
        <v>17</v>
      </c>
      <c r="E11" s="87">
        <f t="shared" si="0"/>
        <v>419667</v>
      </c>
      <c r="F11" s="87">
        <f>'كهرباء 2'!E11</f>
        <v>27159</v>
      </c>
      <c r="G11" s="237">
        <f t="shared" si="1"/>
        <v>446826</v>
      </c>
      <c r="H11" s="65" t="s">
        <v>15</v>
      </c>
      <c r="I11" s="59"/>
      <c r="J11" s="60"/>
      <c r="K11" s="59"/>
      <c r="L11" s="60"/>
      <c r="M11" s="59"/>
      <c r="N11" s="59"/>
      <c r="O11" s="59"/>
      <c r="P11" s="60"/>
      <c r="Q11" s="60"/>
    </row>
    <row r="12" spans="1:19" s="55" customFormat="1" ht="15.95" customHeight="1">
      <c r="A12" s="49" t="s">
        <v>35</v>
      </c>
      <c r="B12" s="86">
        <f>'كهرباء 2'!B12+'كهرباء 1'!B11</f>
        <v>385985</v>
      </c>
      <c r="C12" s="86">
        <f>'كهرباء 2'!C12</f>
        <v>18083</v>
      </c>
      <c r="D12" s="86">
        <f>'كهرباء 1'!C11</f>
        <v>1318</v>
      </c>
      <c r="E12" s="87">
        <f t="shared" si="0"/>
        <v>405386</v>
      </c>
      <c r="F12" s="87">
        <f>'كهرباء 2'!E12</f>
        <v>33578</v>
      </c>
      <c r="G12" s="237">
        <f t="shared" si="1"/>
        <v>438964</v>
      </c>
      <c r="H12" s="65" t="s">
        <v>16</v>
      </c>
      <c r="I12" s="59"/>
      <c r="J12" s="60"/>
      <c r="K12" s="59"/>
      <c r="L12" s="60"/>
      <c r="M12" s="59"/>
      <c r="N12" s="59"/>
      <c r="O12" s="59"/>
      <c r="P12" s="60"/>
      <c r="Q12" s="60"/>
    </row>
    <row r="13" spans="1:19" s="55" customFormat="1" ht="15.95" customHeight="1">
      <c r="A13" s="49" t="s">
        <v>36</v>
      </c>
      <c r="B13" s="86">
        <f>'كهرباء 2'!B13+'كهرباء 1'!B12</f>
        <v>386461</v>
      </c>
      <c r="C13" s="86">
        <f>'كهرباء 2'!C13</f>
        <v>18083</v>
      </c>
      <c r="D13" s="86">
        <f>'كهرباء 1'!C12</f>
        <v>81</v>
      </c>
      <c r="E13" s="87">
        <f t="shared" si="0"/>
        <v>404625</v>
      </c>
      <c r="F13" s="87">
        <f>'كهرباء 2'!E13</f>
        <v>31880</v>
      </c>
      <c r="G13" s="237">
        <f t="shared" si="1"/>
        <v>436505</v>
      </c>
      <c r="H13" s="65" t="s">
        <v>17</v>
      </c>
      <c r="I13" s="59"/>
      <c r="J13" s="60"/>
      <c r="K13" s="59"/>
      <c r="L13" s="60"/>
      <c r="M13" s="59"/>
      <c r="N13" s="59"/>
      <c r="O13" s="59"/>
      <c r="P13" s="60"/>
      <c r="Q13" s="60"/>
    </row>
    <row r="14" spans="1:19" s="55" customFormat="1" ht="15.95" customHeight="1">
      <c r="A14" s="49" t="s">
        <v>37</v>
      </c>
      <c r="B14" s="86">
        <f>'كهرباء 2'!B14+'كهرباء 1'!B13</f>
        <v>406634</v>
      </c>
      <c r="C14" s="86">
        <f>'كهرباء 2'!C14</f>
        <v>18083</v>
      </c>
      <c r="D14" s="86">
        <f>'كهرباء 1'!C13</f>
        <v>8567</v>
      </c>
      <c r="E14" s="87">
        <f t="shared" si="0"/>
        <v>433284</v>
      </c>
      <c r="F14" s="87">
        <f>'كهرباء 2'!E14</f>
        <v>23874</v>
      </c>
      <c r="G14" s="237">
        <f t="shared" si="1"/>
        <v>457158</v>
      </c>
      <c r="H14" s="65" t="s">
        <v>18</v>
      </c>
      <c r="I14" s="59"/>
      <c r="J14" s="60"/>
      <c r="K14" s="59"/>
      <c r="L14" s="60"/>
      <c r="M14" s="59"/>
      <c r="N14" s="59"/>
      <c r="O14" s="59"/>
      <c r="P14" s="60"/>
      <c r="Q14" s="60"/>
    </row>
    <row r="15" spans="1:19" s="55" customFormat="1" ht="15.95" customHeight="1">
      <c r="A15" s="49" t="s">
        <v>38</v>
      </c>
      <c r="B15" s="86">
        <f>'كهرباء 2'!B15+'كهرباء 1'!B14</f>
        <v>452739</v>
      </c>
      <c r="C15" s="86">
        <f>'كهرباء 2'!C15</f>
        <v>18083</v>
      </c>
      <c r="D15" s="86">
        <f>'كهرباء 1'!C14</f>
        <v>11650</v>
      </c>
      <c r="E15" s="87">
        <f t="shared" si="0"/>
        <v>482472</v>
      </c>
      <c r="F15" s="87">
        <f>'كهرباء 2'!E15</f>
        <v>36209</v>
      </c>
      <c r="G15" s="237">
        <f t="shared" si="1"/>
        <v>518681</v>
      </c>
      <c r="H15" s="65" t="s">
        <v>19</v>
      </c>
      <c r="I15" s="59"/>
      <c r="J15" s="60"/>
      <c r="K15" s="59"/>
      <c r="L15" s="60"/>
      <c r="M15" s="59"/>
      <c r="N15" s="59"/>
      <c r="O15" s="59"/>
      <c r="P15" s="60"/>
      <c r="Q15" s="60"/>
    </row>
    <row r="16" spans="1:19" s="55" customFormat="1" ht="15.95" customHeight="1">
      <c r="A16" s="49" t="s">
        <v>39</v>
      </c>
      <c r="B16" s="86">
        <f>'كهرباء 2'!B16+'كهرباء 1'!B15</f>
        <v>425667</v>
      </c>
      <c r="C16" s="86">
        <f>'كهرباء 2'!C16</f>
        <v>7863</v>
      </c>
      <c r="D16" s="86">
        <f>'كهرباء 1'!C15</f>
        <v>7656</v>
      </c>
      <c r="E16" s="87">
        <f t="shared" si="0"/>
        <v>441186</v>
      </c>
      <c r="F16" s="87">
        <f>'كهرباء 2'!E16</f>
        <v>32011</v>
      </c>
      <c r="G16" s="237">
        <f t="shared" si="1"/>
        <v>473197</v>
      </c>
      <c r="H16" s="65" t="s">
        <v>20</v>
      </c>
      <c r="I16" s="59"/>
      <c r="J16" s="60"/>
      <c r="K16" s="59"/>
      <c r="L16" s="60"/>
      <c r="M16" s="59"/>
      <c r="N16" s="59"/>
      <c r="O16" s="59"/>
      <c r="P16" s="60"/>
      <c r="Q16" s="60"/>
    </row>
    <row r="17" spans="1:17" s="55" customFormat="1" ht="15.95" customHeight="1">
      <c r="A17" s="49" t="s">
        <v>48</v>
      </c>
      <c r="B17" s="86">
        <f>'كهرباء 2'!B17+'كهرباء 1'!B16</f>
        <v>392890</v>
      </c>
      <c r="C17" s="86">
        <f>'كهرباء 2'!C17</f>
        <v>12850</v>
      </c>
      <c r="D17" s="86">
        <f>'كهرباء 1'!C16</f>
        <v>5170</v>
      </c>
      <c r="E17" s="87">
        <f t="shared" si="0"/>
        <v>410910</v>
      </c>
      <c r="F17" s="87">
        <f>'كهرباء 2'!E17</f>
        <v>31180</v>
      </c>
      <c r="G17" s="237">
        <f t="shared" si="1"/>
        <v>442090</v>
      </c>
      <c r="H17" s="65" t="s">
        <v>21</v>
      </c>
      <c r="I17" s="59"/>
      <c r="J17" s="60"/>
      <c r="K17" s="59"/>
      <c r="L17" s="60"/>
      <c r="M17" s="59"/>
      <c r="N17" s="59"/>
      <c r="O17" s="59"/>
      <c r="P17" s="60"/>
      <c r="Q17" s="60"/>
    </row>
    <row r="18" spans="1:17" s="55" customFormat="1" ht="15.95" customHeight="1">
      <c r="A18" s="49" t="s">
        <v>44</v>
      </c>
      <c r="B18" s="86">
        <f>'كهرباء 2'!B18+'كهرباء 1'!B17</f>
        <v>403434</v>
      </c>
      <c r="C18" s="86">
        <f>'كهرباء 2'!C18</f>
        <v>11928</v>
      </c>
      <c r="D18" s="86">
        <f>'كهرباء 1'!C17</f>
        <v>175</v>
      </c>
      <c r="E18" s="87">
        <f t="shared" si="0"/>
        <v>415537</v>
      </c>
      <c r="F18" s="87">
        <f>'كهرباء 2'!E18</f>
        <v>28386</v>
      </c>
      <c r="G18" s="237">
        <f t="shared" si="1"/>
        <v>443923</v>
      </c>
      <c r="H18" s="189" t="s">
        <v>22</v>
      </c>
      <c r="I18" s="59"/>
      <c r="J18" s="60"/>
      <c r="K18" s="59"/>
      <c r="L18" s="60"/>
      <c r="M18" s="59"/>
      <c r="N18" s="59"/>
      <c r="O18" s="59"/>
      <c r="P18" s="60"/>
      <c r="Q18" s="60"/>
    </row>
    <row r="19" spans="1:17" s="55" customFormat="1" ht="15.95" customHeight="1">
      <c r="A19" s="49" t="s">
        <v>45</v>
      </c>
      <c r="B19" s="86">
        <f>'كهرباء 2'!B19+'كهرباء 1'!B18</f>
        <v>529087</v>
      </c>
      <c r="C19" s="86">
        <f>'كهرباء 2'!C19</f>
        <v>12886</v>
      </c>
      <c r="D19" s="86">
        <f>'كهرباء 1'!C18</f>
        <v>1267</v>
      </c>
      <c r="E19" s="87">
        <f t="shared" si="0"/>
        <v>543240</v>
      </c>
      <c r="F19" s="87">
        <f>'كهرباء 2'!E19</f>
        <v>38598</v>
      </c>
      <c r="G19" s="237">
        <f t="shared" si="1"/>
        <v>581838</v>
      </c>
      <c r="H19" s="65" t="s">
        <v>23</v>
      </c>
      <c r="I19" s="59"/>
      <c r="J19" s="60"/>
      <c r="K19" s="59"/>
      <c r="L19" s="60"/>
      <c r="M19" s="59"/>
      <c r="N19" s="59"/>
      <c r="O19" s="59"/>
      <c r="P19" s="60"/>
      <c r="Q19" s="60"/>
    </row>
    <row r="20" spans="1:17" s="27" customFormat="1" ht="15.95" customHeight="1">
      <c r="A20" s="50" t="s">
        <v>40</v>
      </c>
      <c r="B20" s="88">
        <f>SUM(B8:B19)</f>
        <v>5181507</v>
      </c>
      <c r="C20" s="88">
        <f>SUM(C8:C19)</f>
        <v>190191</v>
      </c>
      <c r="D20" s="88">
        <f>SUM(D8:D19)</f>
        <v>41390</v>
      </c>
      <c r="E20" s="88">
        <f t="shared" ref="E20" si="2">SUM(B20:D20)</f>
        <v>5413088</v>
      </c>
      <c r="F20" s="88">
        <f>SUM(F8:F19)</f>
        <v>354970</v>
      </c>
      <c r="G20" s="238">
        <f t="shared" si="1"/>
        <v>5768058</v>
      </c>
      <c r="H20" s="66" t="s">
        <v>31</v>
      </c>
      <c r="I20" s="59"/>
      <c r="J20" s="79"/>
      <c r="K20" s="60"/>
      <c r="L20" s="59"/>
      <c r="M20" s="60"/>
      <c r="N20" s="60"/>
      <c r="O20" s="60"/>
      <c r="P20" s="61"/>
      <c r="Q20" s="61"/>
    </row>
    <row r="21" spans="1:17" s="27" customFormat="1" ht="15.95" customHeight="1">
      <c r="A21" s="375" t="s">
        <v>50</v>
      </c>
      <c r="B21" s="317"/>
      <c r="C21" s="317"/>
      <c r="D21" s="159"/>
      <c r="E21" s="356" t="s">
        <v>70</v>
      </c>
      <c r="F21" s="356"/>
      <c r="G21" s="356"/>
      <c r="H21" s="376"/>
      <c r="I21" s="59"/>
      <c r="J21" s="79"/>
      <c r="K21" s="60"/>
      <c r="L21" s="59"/>
      <c r="M21" s="60"/>
      <c r="N21" s="60"/>
      <c r="O21" s="60"/>
      <c r="P21" s="61"/>
      <c r="Q21" s="61"/>
    </row>
    <row r="22" spans="1:17" ht="36.75" customHeight="1">
      <c r="A22" s="317" t="s">
        <v>159</v>
      </c>
      <c r="B22" s="317"/>
      <c r="C22" s="317"/>
      <c r="D22" s="369"/>
      <c r="E22" s="356" t="s">
        <v>160</v>
      </c>
      <c r="F22" s="356"/>
      <c r="G22" s="356"/>
      <c r="H22" s="368"/>
    </row>
    <row r="23" spans="1:17">
      <c r="B23" s="62"/>
      <c r="C23" s="8"/>
      <c r="D23" s="8"/>
      <c r="E23" s="8"/>
      <c r="F23" s="8"/>
      <c r="G23" s="8"/>
    </row>
    <row r="24" spans="1:17">
      <c r="B24" s="63"/>
      <c r="C24" s="57"/>
      <c r="D24" s="58"/>
      <c r="E24" s="57"/>
      <c r="F24" s="57"/>
      <c r="G24" s="57"/>
      <c r="H24" s="149"/>
      <c r="I24" s="149"/>
    </row>
    <row r="25" spans="1:17">
      <c r="B25" s="63"/>
      <c r="C25" s="57"/>
      <c r="D25" s="58"/>
      <c r="E25" s="57"/>
      <c r="F25" s="57"/>
      <c r="G25" s="57"/>
    </row>
    <row r="26" spans="1:17">
      <c r="B26" s="63"/>
      <c r="C26" s="57"/>
      <c r="D26" s="58"/>
      <c r="E26" s="57"/>
      <c r="F26" s="57"/>
      <c r="G26" s="57"/>
    </row>
    <row r="27" spans="1:17">
      <c r="B27" s="63"/>
      <c r="C27" s="57"/>
      <c r="D27" s="58"/>
      <c r="E27" s="57"/>
      <c r="F27" s="57"/>
      <c r="G27" s="57"/>
    </row>
    <row r="28" spans="1:17">
      <c r="B28" s="63"/>
      <c r="C28" s="57"/>
      <c r="D28" s="58"/>
      <c r="E28" s="57"/>
      <c r="F28" s="57"/>
      <c r="G28" s="57"/>
    </row>
    <row r="29" spans="1:17">
      <c r="B29" s="63"/>
      <c r="C29" s="57"/>
      <c r="D29" s="58"/>
      <c r="E29" s="57"/>
      <c r="F29" s="57"/>
      <c r="G29" s="57"/>
    </row>
    <row r="30" spans="1:17">
      <c r="B30" s="63"/>
      <c r="C30" s="57"/>
      <c r="D30" s="58"/>
      <c r="E30" s="57"/>
      <c r="F30" s="57"/>
      <c r="G30" s="57"/>
    </row>
    <row r="31" spans="1:17">
      <c r="B31" s="63"/>
      <c r="C31" s="57"/>
      <c r="D31" s="58"/>
      <c r="E31" s="57"/>
      <c r="F31" s="57"/>
      <c r="G31" s="57"/>
    </row>
    <row r="32" spans="1:17">
      <c r="B32" s="63"/>
      <c r="C32" s="57"/>
      <c r="D32" s="58"/>
      <c r="E32" s="57"/>
      <c r="F32" s="57"/>
      <c r="G32" s="57"/>
    </row>
    <row r="33" spans="2:7">
      <c r="B33" s="63"/>
      <c r="C33" s="57"/>
      <c r="D33" s="58"/>
      <c r="E33" s="57"/>
      <c r="F33" s="57"/>
      <c r="G33" s="57"/>
    </row>
    <row r="34" spans="2:7">
      <c r="B34" s="63"/>
      <c r="C34" s="57"/>
      <c r="D34" s="58"/>
      <c r="E34" s="57"/>
      <c r="F34" s="57"/>
      <c r="G34" s="57"/>
    </row>
    <row r="35" spans="2:7">
      <c r="B35" s="63"/>
      <c r="C35" s="57"/>
      <c r="D35" s="58"/>
      <c r="E35" s="57"/>
      <c r="F35" s="57"/>
      <c r="G35" s="57"/>
    </row>
    <row r="36" spans="2:7">
      <c r="B36" s="63"/>
      <c r="C36" s="63"/>
      <c r="D36" s="63"/>
      <c r="E36" s="63"/>
      <c r="F36" s="63"/>
      <c r="G36" s="63"/>
    </row>
    <row r="37" spans="2:7">
      <c r="B37" s="63"/>
    </row>
    <row r="38" spans="2:7">
      <c r="B38" s="63"/>
    </row>
  </sheetData>
  <mergeCells count="11">
    <mergeCell ref="A1:H1"/>
    <mergeCell ref="A2:H2"/>
    <mergeCell ref="A4:A7"/>
    <mergeCell ref="H4:H7"/>
    <mergeCell ref="A21:C21"/>
    <mergeCell ref="E21:H21"/>
    <mergeCell ref="E22:H22"/>
    <mergeCell ref="G4:G7"/>
    <mergeCell ref="E6:E7"/>
    <mergeCell ref="F5:F6"/>
    <mergeCell ref="A22:D22"/>
  </mergeCells>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ignoredErrors>
    <ignoredError sqref="E20" formula="1"/>
  </ignoredErrors>
</worksheet>
</file>

<file path=xl/worksheets/sheet7.xml><?xml version="1.0" encoding="utf-8"?>
<worksheet xmlns="http://schemas.openxmlformats.org/spreadsheetml/2006/main" xmlns:r="http://schemas.openxmlformats.org/officeDocument/2006/relationships">
  <dimension ref="A1:M24"/>
  <sheetViews>
    <sheetView rightToLeft="1" view="pageBreakPreview" zoomScaleNormal="100" zoomScaleSheetLayoutView="100" workbookViewId="0">
      <selection activeCell="Q15" sqref="Q15"/>
    </sheetView>
  </sheetViews>
  <sheetFormatPr defaultRowHeight="12.75"/>
  <cols>
    <col min="1" max="1" width="13.7109375" customWidth="1"/>
    <col min="2" max="2" width="25.140625" customWidth="1"/>
    <col min="3" max="3" width="23.5703125" customWidth="1"/>
    <col min="4" max="4" width="13.7109375" customWidth="1"/>
  </cols>
  <sheetData>
    <row r="1" spans="1:13" ht="36" customHeight="1">
      <c r="A1" s="344" t="s">
        <v>170</v>
      </c>
      <c r="B1" s="344"/>
      <c r="C1" s="344"/>
      <c r="D1" s="344"/>
    </row>
    <row r="2" spans="1:13" ht="44.25" customHeight="1">
      <c r="A2" s="344" t="s">
        <v>171</v>
      </c>
      <c r="B2" s="344"/>
      <c r="C2" s="344"/>
      <c r="D2" s="344"/>
    </row>
    <row r="3" spans="1:13">
      <c r="A3" s="1"/>
      <c r="B3" s="1"/>
      <c r="C3" s="1"/>
      <c r="D3" s="1"/>
      <c r="I3">
        <v>10319</v>
      </c>
      <c r="J3">
        <v>10318.64</v>
      </c>
      <c r="K3">
        <v>1</v>
      </c>
    </row>
    <row r="4" spans="1:13" ht="30" customHeight="1">
      <c r="A4" s="377" t="s">
        <v>55</v>
      </c>
      <c r="B4" s="380" t="s">
        <v>114</v>
      </c>
      <c r="C4" s="380" t="s">
        <v>113</v>
      </c>
      <c r="D4" s="378" t="s">
        <v>59</v>
      </c>
      <c r="I4">
        <v>9526</v>
      </c>
      <c r="J4">
        <v>9525.5</v>
      </c>
      <c r="K4">
        <v>2</v>
      </c>
      <c r="M4">
        <v>0.39855367920243417</v>
      </c>
    </row>
    <row r="5" spans="1:13" ht="15.75" customHeight="1">
      <c r="A5" s="377"/>
      <c r="B5" s="381"/>
      <c r="C5" s="381" t="s">
        <v>57</v>
      </c>
      <c r="D5" s="378"/>
      <c r="F5" s="3"/>
      <c r="I5">
        <v>10330</v>
      </c>
      <c r="J5">
        <v>10330.23</v>
      </c>
      <c r="K5">
        <v>3</v>
      </c>
    </row>
    <row r="6" spans="1:13" ht="24.75" customHeight="1">
      <c r="A6" s="377"/>
      <c r="B6" s="382" t="s">
        <v>111</v>
      </c>
      <c r="C6" s="382" t="s">
        <v>112</v>
      </c>
      <c r="D6" s="378"/>
      <c r="F6" s="3"/>
      <c r="I6">
        <v>9862</v>
      </c>
      <c r="J6">
        <v>9862.07</v>
      </c>
      <c r="K6">
        <v>4</v>
      </c>
      <c r="M6">
        <v>391966</v>
      </c>
    </row>
    <row r="7" spans="1:13" ht="9" customHeight="1">
      <c r="A7" s="377"/>
      <c r="B7" s="384" t="s">
        <v>56</v>
      </c>
      <c r="C7" s="383" t="s">
        <v>58</v>
      </c>
      <c r="D7" s="378"/>
      <c r="I7">
        <v>9403</v>
      </c>
      <c r="J7">
        <v>9402.6299999999992</v>
      </c>
      <c r="K7">
        <v>5</v>
      </c>
    </row>
    <row r="8" spans="1:13" ht="15.95" customHeight="1">
      <c r="A8" s="210">
        <v>2002</v>
      </c>
      <c r="B8" s="184">
        <v>30000</v>
      </c>
      <c r="C8" s="231">
        <v>147146</v>
      </c>
      <c r="D8" s="224">
        <v>2002</v>
      </c>
      <c r="F8" s="3"/>
      <c r="I8">
        <v>11321</v>
      </c>
      <c r="J8">
        <v>11320.79</v>
      </c>
      <c r="K8">
        <v>6</v>
      </c>
      <c r="M8">
        <f>M6/M4</f>
        <v>983471.03653485992</v>
      </c>
    </row>
    <row r="9" spans="1:13" ht="15.95" customHeight="1">
      <c r="A9" s="210">
        <v>2003</v>
      </c>
      <c r="B9" s="185">
        <v>115000</v>
      </c>
      <c r="C9" s="232">
        <v>445426</v>
      </c>
      <c r="D9" s="224">
        <v>2003</v>
      </c>
      <c r="I9">
        <v>11974</v>
      </c>
      <c r="J9">
        <v>11973.6</v>
      </c>
      <c r="K9">
        <v>7</v>
      </c>
    </row>
    <row r="10" spans="1:13" ht="15.95" customHeight="1">
      <c r="A10" s="210">
        <v>2004</v>
      </c>
      <c r="B10" s="185">
        <v>96000</v>
      </c>
      <c r="C10" s="232">
        <v>395065</v>
      </c>
      <c r="D10" s="224">
        <v>2004</v>
      </c>
      <c r="I10">
        <v>12702</v>
      </c>
      <c r="J10">
        <v>12701.75</v>
      </c>
      <c r="K10">
        <v>8</v>
      </c>
    </row>
    <row r="11" spans="1:13" ht="15.95" customHeight="1">
      <c r="A11" s="210">
        <v>2005</v>
      </c>
      <c r="B11" s="185">
        <v>133740</v>
      </c>
      <c r="C11" s="232">
        <v>500519</v>
      </c>
      <c r="D11" s="224">
        <v>2005</v>
      </c>
      <c r="F11">
        <v>257.95999999999998</v>
      </c>
      <c r="I11">
        <v>11184</v>
      </c>
      <c r="J11">
        <v>11184.16</v>
      </c>
      <c r="K11">
        <v>9</v>
      </c>
    </row>
    <row r="12" spans="1:13" ht="15.95" customHeight="1">
      <c r="A12" s="210">
        <v>2006</v>
      </c>
      <c r="B12" s="185">
        <v>74663</v>
      </c>
      <c r="C12" s="232">
        <v>345307</v>
      </c>
      <c r="D12" s="224">
        <v>2006</v>
      </c>
      <c r="F12">
        <f>F11*0.4</f>
        <v>103.184</v>
      </c>
      <c r="I12">
        <v>11752</v>
      </c>
      <c r="J12">
        <v>11751.78</v>
      </c>
      <c r="K12">
        <v>10</v>
      </c>
    </row>
    <row r="13" spans="1:13" ht="15.95" customHeight="1">
      <c r="A13" s="210">
        <v>2007</v>
      </c>
      <c r="B13" s="185">
        <v>101071</v>
      </c>
      <c r="C13" s="232">
        <v>404695</v>
      </c>
      <c r="D13" s="224">
        <v>2007</v>
      </c>
      <c r="F13">
        <f>F12/0.0036</f>
        <v>28662.222222222223</v>
      </c>
      <c r="I13">
        <v>12108</v>
      </c>
      <c r="J13">
        <v>12108.24</v>
      </c>
      <c r="K13">
        <v>11</v>
      </c>
    </row>
    <row r="14" spans="1:13" ht="15.95" customHeight="1">
      <c r="A14" s="210">
        <v>2008</v>
      </c>
      <c r="B14" s="185">
        <v>100663</v>
      </c>
      <c r="C14" s="232">
        <v>410312</v>
      </c>
      <c r="D14" s="224">
        <v>2008</v>
      </c>
      <c r="I14">
        <v>13529</v>
      </c>
      <c r="J14">
        <v>13528.82</v>
      </c>
      <c r="K14">
        <v>12</v>
      </c>
    </row>
    <row r="15" spans="1:13" ht="15.95" customHeight="1">
      <c r="A15" s="210">
        <v>2009</v>
      </c>
      <c r="B15" s="185">
        <v>107613</v>
      </c>
      <c r="C15" s="233">
        <v>430340</v>
      </c>
      <c r="D15" s="224">
        <v>2009</v>
      </c>
      <c r="I15">
        <v>134010</v>
      </c>
    </row>
    <row r="16" spans="1:13" ht="15.95" customHeight="1">
      <c r="A16" s="210">
        <v>2010</v>
      </c>
      <c r="B16" s="185">
        <v>69660</v>
      </c>
      <c r="C16" s="233">
        <v>304985</v>
      </c>
      <c r="D16" s="224">
        <v>2010</v>
      </c>
    </row>
    <row r="17" spans="1:9" ht="15.95" customHeight="1">
      <c r="A17" s="211">
        <v>2011</v>
      </c>
      <c r="B17" s="185">
        <v>134010</v>
      </c>
      <c r="C17" s="233">
        <v>542440</v>
      </c>
      <c r="D17" s="225">
        <v>2011</v>
      </c>
      <c r="F17">
        <v>40483.79841930644</v>
      </c>
      <c r="I17">
        <v>104417</v>
      </c>
    </row>
    <row r="18" spans="1:9" ht="15.95" customHeight="1">
      <c r="A18" s="211">
        <v>2012</v>
      </c>
      <c r="B18" s="186">
        <v>94642</v>
      </c>
      <c r="C18" s="234">
        <v>391966</v>
      </c>
      <c r="D18" s="225">
        <v>2012</v>
      </c>
      <c r="I18" s="146">
        <f>I17-B18</f>
        <v>9775</v>
      </c>
    </row>
    <row r="19" spans="1:9" ht="15.95" customHeight="1">
      <c r="A19" s="211">
        <v>2013</v>
      </c>
      <c r="B19" s="202">
        <v>100898</v>
      </c>
      <c r="C19" s="234">
        <v>402607</v>
      </c>
      <c r="D19" s="225">
        <v>2013</v>
      </c>
      <c r="I19" s="146"/>
    </row>
    <row r="20" spans="1:9" ht="15.95" customHeight="1">
      <c r="A20" s="211">
        <v>2014</v>
      </c>
      <c r="B20" s="186">
        <v>63373</v>
      </c>
      <c r="C20" s="234">
        <v>266054</v>
      </c>
      <c r="D20" s="225">
        <v>2014</v>
      </c>
      <c r="F20" s="165" t="s">
        <v>83</v>
      </c>
      <c r="I20" s="146"/>
    </row>
    <row r="21" spans="1:9" ht="15.95" customHeight="1">
      <c r="A21" s="218">
        <v>2015</v>
      </c>
      <c r="B21" s="203">
        <v>80934</v>
      </c>
      <c r="C21" s="235">
        <f>'كهرباء 2'!E20</f>
        <v>354970</v>
      </c>
      <c r="D21" s="219">
        <v>2015</v>
      </c>
      <c r="F21" s="165"/>
      <c r="I21" s="146"/>
    </row>
    <row r="22" spans="1:9" ht="38.25" customHeight="1">
      <c r="A22" s="317" t="s">
        <v>153</v>
      </c>
      <c r="B22" s="317"/>
      <c r="C22" s="379" t="s">
        <v>158</v>
      </c>
      <c r="D22" s="379"/>
      <c r="F22" s="146">
        <f>F17+C18</f>
        <v>432449.79841930646</v>
      </c>
      <c r="G22" t="s">
        <v>73</v>
      </c>
    </row>
    <row r="23" spans="1:9">
      <c r="F23">
        <v>28662</v>
      </c>
      <c r="G23" t="s">
        <v>74</v>
      </c>
    </row>
    <row r="24" spans="1:9">
      <c r="E24" s="150"/>
      <c r="F24" s="151">
        <f>F23+F22</f>
        <v>461111.79841930646</v>
      </c>
      <c r="G24" s="150" t="s">
        <v>75</v>
      </c>
      <c r="H24" s="150"/>
    </row>
  </sheetData>
  <mergeCells count="10">
    <mergeCell ref="A1:D1"/>
    <mergeCell ref="A4:A7"/>
    <mergeCell ref="D4:D7"/>
    <mergeCell ref="A2:D2"/>
    <mergeCell ref="A22:B22"/>
    <mergeCell ref="C22:D22"/>
    <mergeCell ref="B4:B5"/>
    <mergeCell ref="C4:C5"/>
    <mergeCell ref="C6:C7"/>
    <mergeCell ref="B6:B7"/>
  </mergeCells>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worksheet>
</file>

<file path=xl/worksheets/sheet8.xml><?xml version="1.0" encoding="utf-8"?>
<worksheet xmlns="http://schemas.openxmlformats.org/spreadsheetml/2006/main" xmlns:r="http://schemas.openxmlformats.org/officeDocument/2006/relationships">
  <sheetPr codeName="Sheet17"/>
  <dimension ref="A1:M41"/>
  <sheetViews>
    <sheetView rightToLeft="1" view="pageBreakPreview" zoomScaleNormal="100" zoomScaleSheetLayoutView="100" workbookViewId="0">
      <selection activeCell="Q15" sqref="Q15"/>
    </sheetView>
  </sheetViews>
  <sheetFormatPr defaultRowHeight="15" customHeight="1"/>
  <cols>
    <col min="1" max="1" width="26.85546875" style="7" customWidth="1"/>
    <col min="2" max="2" width="12.7109375" style="7" customWidth="1"/>
    <col min="3" max="3" width="11.5703125" style="7" customWidth="1"/>
    <col min="4" max="4" width="12.85546875" style="7" customWidth="1"/>
    <col min="5" max="5" width="11" style="7" customWidth="1"/>
    <col min="6" max="6" width="12.28515625" style="7" customWidth="1"/>
    <col min="7" max="7" width="31.42578125" style="7" customWidth="1"/>
    <col min="8" max="16384" width="9.140625" style="7"/>
  </cols>
  <sheetData>
    <row r="1" spans="1:13" s="21" customFormat="1" ht="21" customHeight="1">
      <c r="A1" s="385" t="s">
        <v>161</v>
      </c>
      <c r="B1" s="385"/>
      <c r="C1" s="385"/>
      <c r="D1" s="385"/>
      <c r="E1" s="385"/>
      <c r="F1" s="385"/>
      <c r="G1" s="385"/>
    </row>
    <row r="2" spans="1:13" ht="15.95" customHeight="1">
      <c r="A2" s="386" t="s">
        <v>162</v>
      </c>
      <c r="B2" s="386"/>
      <c r="C2" s="386"/>
      <c r="D2" s="386"/>
      <c r="E2" s="386"/>
      <c r="F2" s="386"/>
      <c r="G2" s="386"/>
    </row>
    <row r="3" spans="1:13" ht="6" customHeight="1">
      <c r="A3" s="44"/>
      <c r="B3" s="44"/>
      <c r="C3" s="44"/>
      <c r="D3" s="37"/>
      <c r="E3" s="30"/>
      <c r="F3" s="30"/>
      <c r="G3" s="45"/>
    </row>
    <row r="4" spans="1:13" s="22" customFormat="1" ht="15.95" customHeight="1">
      <c r="A4" s="392" t="s">
        <v>128</v>
      </c>
      <c r="B4" s="73" t="s">
        <v>119</v>
      </c>
      <c r="C4" s="38"/>
      <c r="D4" s="39"/>
      <c r="E4" s="39"/>
      <c r="F4" s="153" t="s">
        <v>120</v>
      </c>
      <c r="G4" s="396" t="s">
        <v>1</v>
      </c>
    </row>
    <row r="5" spans="1:13" s="23" customFormat="1" ht="15.75" customHeight="1">
      <c r="A5" s="393"/>
      <c r="B5" s="40" t="s">
        <v>77</v>
      </c>
      <c r="C5" s="41" t="s">
        <v>66</v>
      </c>
      <c r="D5" s="40" t="s">
        <v>67</v>
      </c>
      <c r="E5" s="40" t="s">
        <v>79</v>
      </c>
      <c r="F5" s="41" t="s">
        <v>68</v>
      </c>
      <c r="G5" s="397"/>
    </row>
    <row r="6" spans="1:13" s="23" customFormat="1" ht="42" customHeight="1">
      <c r="A6" s="394"/>
      <c r="B6" s="42" t="s">
        <v>78</v>
      </c>
      <c r="C6" s="51" t="s">
        <v>26</v>
      </c>
      <c r="D6" s="42" t="s">
        <v>27</v>
      </c>
      <c r="E6" s="42" t="s">
        <v>80</v>
      </c>
      <c r="F6" s="42" t="s">
        <v>28</v>
      </c>
      <c r="G6" s="398"/>
    </row>
    <row r="7" spans="1:13" s="26" customFormat="1" ht="15.95" customHeight="1">
      <c r="A7" s="53" t="s">
        <v>41</v>
      </c>
      <c r="B7" s="190">
        <v>64.8125</v>
      </c>
      <c r="C7" s="77">
        <v>5.61</v>
      </c>
      <c r="D7" s="196">
        <v>6.708333333333333</v>
      </c>
      <c r="E7" s="77">
        <v>6.0499999999999989</v>
      </c>
      <c r="F7" s="191">
        <v>5.61</v>
      </c>
      <c r="G7" s="72" t="s">
        <v>24</v>
      </c>
      <c r="H7" s="144"/>
      <c r="I7" s="144"/>
      <c r="J7" s="144"/>
      <c r="K7" s="144"/>
      <c r="L7" s="144"/>
      <c r="M7" s="144"/>
    </row>
    <row r="8" spans="1:13" s="26" customFormat="1" ht="15.95" customHeight="1">
      <c r="A8" s="53" t="s">
        <v>32</v>
      </c>
      <c r="B8" s="190">
        <v>62.25</v>
      </c>
      <c r="C8" s="77">
        <v>5.31</v>
      </c>
      <c r="D8" s="196">
        <v>6.458333333333333</v>
      </c>
      <c r="E8" s="77">
        <v>5.85</v>
      </c>
      <c r="F8" s="191">
        <v>5.31</v>
      </c>
      <c r="G8" s="72" t="s">
        <v>13</v>
      </c>
      <c r="H8" s="144"/>
      <c r="I8" s="144"/>
      <c r="J8" s="144"/>
      <c r="K8" s="144"/>
      <c r="L8" s="144"/>
      <c r="M8" s="144"/>
    </row>
    <row r="9" spans="1:13" s="26" customFormat="1" ht="15.95" customHeight="1">
      <c r="A9" s="53" t="s">
        <v>33</v>
      </c>
      <c r="B9" s="190">
        <v>61.5</v>
      </c>
      <c r="C9" s="77">
        <v>5.6899999999999995</v>
      </c>
      <c r="D9" s="196">
        <v>6.520833333333333</v>
      </c>
      <c r="E9" s="77">
        <v>6.23</v>
      </c>
      <c r="F9" s="191">
        <v>5.69</v>
      </c>
      <c r="G9" s="72" t="s">
        <v>14</v>
      </c>
      <c r="H9" s="144"/>
      <c r="I9" s="144"/>
      <c r="J9" s="144"/>
      <c r="K9" s="144"/>
      <c r="L9" s="144"/>
      <c r="M9" s="144"/>
    </row>
    <row r="10" spans="1:13" s="26" customFormat="1" ht="15.95" customHeight="1">
      <c r="A10" s="53" t="s">
        <v>34</v>
      </c>
      <c r="B10" s="190">
        <v>64.625</v>
      </c>
      <c r="C10" s="77">
        <v>5.54</v>
      </c>
      <c r="D10" s="196">
        <v>6.5625</v>
      </c>
      <c r="E10" s="77">
        <v>6.29</v>
      </c>
      <c r="F10" s="191">
        <v>5.54</v>
      </c>
      <c r="G10" s="72" t="s">
        <v>15</v>
      </c>
      <c r="H10" s="144"/>
      <c r="I10" s="144"/>
      <c r="J10" s="144"/>
      <c r="K10" s="144"/>
      <c r="L10" s="144"/>
      <c r="M10" s="144"/>
    </row>
    <row r="11" spans="1:13" s="26" customFormat="1" ht="15.95" customHeight="1">
      <c r="A11" s="53" t="s">
        <v>35</v>
      </c>
      <c r="B11" s="190">
        <v>62.5625</v>
      </c>
      <c r="C11" s="77">
        <v>5.65</v>
      </c>
      <c r="D11" s="196">
        <v>7.145833333333333</v>
      </c>
      <c r="E11" s="77">
        <v>6.4</v>
      </c>
      <c r="F11" s="191">
        <v>5.65</v>
      </c>
      <c r="G11" s="72" t="s">
        <v>16</v>
      </c>
      <c r="H11" s="144"/>
      <c r="I11" s="144"/>
      <c r="J11" s="144"/>
      <c r="K11" s="144"/>
      <c r="L11" s="144"/>
      <c r="M11" s="144"/>
    </row>
    <row r="12" spans="1:13" s="26" customFormat="1" ht="15.95" customHeight="1">
      <c r="A12" s="53" t="s">
        <v>42</v>
      </c>
      <c r="B12" s="190">
        <v>60.0625</v>
      </c>
      <c r="C12" s="77">
        <v>5.660000000000001</v>
      </c>
      <c r="D12" s="196">
        <v>6.958333333333333</v>
      </c>
      <c r="E12" s="77">
        <v>6.4099999999999984</v>
      </c>
      <c r="F12" s="191">
        <v>5.66</v>
      </c>
      <c r="G12" s="72" t="s">
        <v>17</v>
      </c>
      <c r="H12" s="144"/>
      <c r="I12" s="144"/>
      <c r="J12" s="144"/>
      <c r="K12" s="144"/>
      <c r="L12" s="144"/>
      <c r="M12" s="144"/>
    </row>
    <row r="13" spans="1:13" s="26" customFormat="1" ht="15.95" customHeight="1">
      <c r="A13" s="53" t="s">
        <v>37</v>
      </c>
      <c r="B13" s="190">
        <v>56</v>
      </c>
      <c r="C13" s="77">
        <v>5.57</v>
      </c>
      <c r="D13" s="196">
        <v>6.604166666666667</v>
      </c>
      <c r="E13" s="77">
        <v>6.4099999999999984</v>
      </c>
      <c r="F13" s="191">
        <v>5.57</v>
      </c>
      <c r="G13" s="72" t="s">
        <v>18</v>
      </c>
      <c r="H13" s="144"/>
      <c r="I13" s="144"/>
      <c r="J13" s="144"/>
      <c r="K13" s="144"/>
      <c r="L13" s="144"/>
      <c r="M13" s="144"/>
    </row>
    <row r="14" spans="1:13" s="26" customFormat="1" ht="15.95" customHeight="1">
      <c r="A14" s="53" t="s">
        <v>38</v>
      </c>
      <c r="B14" s="190">
        <v>55.75</v>
      </c>
      <c r="C14" s="77">
        <v>5.28</v>
      </c>
      <c r="D14" s="196">
        <v>6.479166666666667</v>
      </c>
      <c r="E14" s="77">
        <v>6.17</v>
      </c>
      <c r="F14" s="191">
        <v>5.28</v>
      </c>
      <c r="G14" s="72" t="s">
        <v>19</v>
      </c>
      <c r="H14" s="144"/>
      <c r="I14" s="144"/>
      <c r="J14" s="144"/>
      <c r="K14" s="144"/>
      <c r="L14" s="144"/>
      <c r="M14" s="144"/>
    </row>
    <row r="15" spans="1:13" s="26" customFormat="1" ht="15.95" customHeight="1">
      <c r="A15" s="53" t="s">
        <v>39</v>
      </c>
      <c r="B15" s="190">
        <v>55.125</v>
      </c>
      <c r="C15" s="77">
        <v>5.18</v>
      </c>
      <c r="D15" s="196">
        <v>6.583333333333333</v>
      </c>
      <c r="E15" s="77">
        <v>5.89</v>
      </c>
      <c r="F15" s="191">
        <v>5.18</v>
      </c>
      <c r="G15" s="72" t="s">
        <v>20</v>
      </c>
      <c r="H15" s="144"/>
      <c r="I15" s="144"/>
      <c r="J15" s="144"/>
      <c r="K15" s="144"/>
      <c r="L15" s="144"/>
      <c r="M15" s="144"/>
    </row>
    <row r="16" spans="1:13" s="26" customFormat="1" ht="15.95" customHeight="1">
      <c r="A16" s="53" t="s">
        <v>43</v>
      </c>
      <c r="B16" s="190">
        <v>54.875</v>
      </c>
      <c r="C16" s="77">
        <v>5.21</v>
      </c>
      <c r="D16" s="196">
        <v>6.416666666666667</v>
      </c>
      <c r="E16" s="77">
        <v>5.89</v>
      </c>
      <c r="F16" s="191">
        <v>5.21</v>
      </c>
      <c r="G16" s="72" t="s">
        <v>21</v>
      </c>
      <c r="H16" s="144"/>
      <c r="I16" s="144"/>
      <c r="J16" s="144"/>
      <c r="K16" s="144"/>
      <c r="L16" s="144"/>
      <c r="M16" s="144"/>
    </row>
    <row r="17" spans="1:13" s="26" customFormat="1" ht="15.95" customHeight="1">
      <c r="A17" s="53" t="s">
        <v>44</v>
      </c>
      <c r="B17" s="190">
        <v>55.0625</v>
      </c>
      <c r="C17" s="77">
        <v>5.13</v>
      </c>
      <c r="D17" s="196">
        <v>6.375</v>
      </c>
      <c r="E17" s="77">
        <v>5.84</v>
      </c>
      <c r="F17" s="191">
        <v>5.13</v>
      </c>
      <c r="G17" s="72" t="s">
        <v>22</v>
      </c>
      <c r="H17" s="144"/>
      <c r="I17" s="144"/>
      <c r="J17" s="144"/>
      <c r="K17" s="144"/>
      <c r="L17" s="144"/>
      <c r="M17" s="144"/>
    </row>
    <row r="18" spans="1:13" s="26" customFormat="1" ht="15.95" customHeight="1">
      <c r="A18" s="53" t="s">
        <v>45</v>
      </c>
      <c r="B18" s="190">
        <v>56.3125</v>
      </c>
      <c r="C18" s="77">
        <v>5.1000000000000005</v>
      </c>
      <c r="D18" s="196">
        <v>6.4722222222222214</v>
      </c>
      <c r="E18" s="77">
        <v>5.8699999999999992</v>
      </c>
      <c r="F18" s="191">
        <v>5.0999999999999996</v>
      </c>
      <c r="G18" s="72" t="s">
        <v>23</v>
      </c>
      <c r="H18" s="144"/>
      <c r="I18" s="144"/>
      <c r="J18" s="144"/>
      <c r="K18" s="144"/>
      <c r="L18" s="144"/>
      <c r="M18" s="144"/>
    </row>
    <row r="19" spans="1:13" s="22" customFormat="1" ht="15.95" customHeight="1">
      <c r="A19" s="71" t="s">
        <v>46</v>
      </c>
      <c r="B19" s="192">
        <f t="shared" ref="B19:F19" si="0">AVERAGE(B7:B18)</f>
        <v>59.078125</v>
      </c>
      <c r="C19" s="78">
        <f t="shared" si="0"/>
        <v>5.4108333333333336</v>
      </c>
      <c r="D19" s="195">
        <f t="shared" si="0"/>
        <v>6.607060185185186</v>
      </c>
      <c r="E19" s="78">
        <f t="shared" si="0"/>
        <v>6.1083333333333334</v>
      </c>
      <c r="F19" s="78">
        <f t="shared" si="0"/>
        <v>5.4108333333333327</v>
      </c>
      <c r="G19" s="161" t="s">
        <v>5</v>
      </c>
    </row>
    <row r="20" spans="1:13" s="8" customFormat="1" ht="30" customHeight="1">
      <c r="A20" s="390" t="s">
        <v>102</v>
      </c>
      <c r="B20" s="391"/>
      <c r="C20" s="391"/>
      <c r="D20" s="391"/>
      <c r="E20" s="318" t="s">
        <v>115</v>
      </c>
      <c r="F20" s="318"/>
      <c r="G20" s="401"/>
    </row>
    <row r="21" spans="1:13" s="8" customFormat="1" ht="30" customHeight="1">
      <c r="A21" s="391" t="s">
        <v>81</v>
      </c>
      <c r="B21" s="391"/>
      <c r="C21" s="391"/>
      <c r="D21" s="391"/>
      <c r="E21" s="318" t="s">
        <v>104</v>
      </c>
      <c r="F21" s="318"/>
      <c r="G21" s="318"/>
    </row>
    <row r="22" spans="1:13" s="8" customFormat="1" ht="31.5" customHeight="1">
      <c r="A22" s="317" t="s">
        <v>163</v>
      </c>
      <c r="B22" s="317"/>
      <c r="C22" s="317"/>
      <c r="D22" s="317"/>
      <c r="E22" s="402" t="s">
        <v>164</v>
      </c>
      <c r="F22" s="318"/>
      <c r="G22" s="318"/>
      <c r="H22" s="9"/>
      <c r="I22" s="9"/>
      <c r="J22" s="9"/>
    </row>
    <row r="23" spans="1:13" s="8" customFormat="1" ht="15" customHeight="1">
      <c r="A23" s="399"/>
      <c r="B23" s="400"/>
      <c r="C23" s="400"/>
      <c r="D23" s="400"/>
      <c r="E23" s="10"/>
      <c r="F23" s="10"/>
      <c r="G23" s="10"/>
      <c r="H23" s="10"/>
      <c r="I23" s="10"/>
      <c r="J23" s="10"/>
    </row>
    <row r="24" spans="1:13" s="8" customFormat="1" ht="15" customHeight="1">
      <c r="A24" s="387"/>
      <c r="B24" s="389"/>
      <c r="C24" s="389"/>
      <c r="D24" s="389"/>
      <c r="E24" s="389"/>
      <c r="F24" s="389"/>
      <c r="G24" s="389"/>
      <c r="H24" s="389"/>
      <c r="I24" s="389"/>
      <c r="J24" s="395"/>
    </row>
    <row r="25" spans="1:13" s="8" customFormat="1" ht="15" customHeight="1">
      <c r="A25" s="388"/>
      <c r="B25" s="11"/>
      <c r="C25" s="11"/>
      <c r="D25" s="11"/>
      <c r="E25" s="11"/>
      <c r="F25" s="11"/>
      <c r="G25" s="11"/>
      <c r="H25" s="11"/>
      <c r="I25" s="12"/>
      <c r="J25" s="395"/>
    </row>
    <row r="26" spans="1:13" s="8" customFormat="1" ht="15" customHeight="1">
      <c r="A26" s="388"/>
      <c r="B26" s="13"/>
      <c r="C26" s="13"/>
      <c r="D26" s="13"/>
      <c r="E26" s="13"/>
      <c r="F26" s="13"/>
      <c r="G26" s="13"/>
      <c r="H26" s="13"/>
      <c r="I26" s="14"/>
      <c r="J26" s="395"/>
    </row>
    <row r="27" spans="1:13" s="8" customFormat="1" ht="15" customHeight="1">
      <c r="A27" s="15">
        <f>SUM(B7:B18)/12</f>
        <v>59.078125</v>
      </c>
      <c r="B27" s="15">
        <f t="shared" ref="B27:E27" si="1">SUM(C7:C18)/12</f>
        <v>5.4108333333333336</v>
      </c>
      <c r="C27" s="15">
        <f t="shared" si="1"/>
        <v>6.607060185185186</v>
      </c>
      <c r="D27" s="15">
        <f t="shared" si="1"/>
        <v>6.1083333333333334</v>
      </c>
      <c r="E27" s="15">
        <f t="shared" si="1"/>
        <v>5.4108333333333327</v>
      </c>
      <c r="F27" s="15"/>
      <c r="G27" s="16"/>
      <c r="H27" s="16"/>
      <c r="I27" s="16"/>
      <c r="J27" s="17"/>
    </row>
    <row r="28" spans="1:13" s="8" customFormat="1" ht="15" customHeight="1">
      <c r="A28" s="15">
        <f>ROUND(A27,2)</f>
        <v>59.08</v>
      </c>
      <c r="B28" s="15">
        <f t="shared" ref="B28:E28" si="2">ROUND(B27,2)</f>
        <v>5.41</v>
      </c>
      <c r="C28" s="15">
        <f t="shared" si="2"/>
        <v>6.61</v>
      </c>
      <c r="D28" s="15">
        <f t="shared" si="2"/>
        <v>6.11</v>
      </c>
      <c r="E28" s="15">
        <f t="shared" si="2"/>
        <v>5.41</v>
      </c>
      <c r="F28" s="15"/>
      <c r="G28" s="16"/>
      <c r="H28" s="16"/>
      <c r="I28" s="16"/>
      <c r="J28" s="17"/>
    </row>
    <row r="29" spans="1:13" s="8" customFormat="1" ht="15" customHeight="1">
      <c r="A29" s="177">
        <f>B19-A28</f>
        <v>-1.8749999999982947E-3</v>
      </c>
      <c r="B29" s="177">
        <f t="shared" ref="B29:E29" si="3">C19-B28</f>
        <v>8.333333333334636E-4</v>
      </c>
      <c r="C29" s="177">
        <f t="shared" si="3"/>
        <v>-2.9398148148143122E-3</v>
      </c>
      <c r="D29" s="177">
        <f t="shared" si="3"/>
        <v>-1.6666666666669272E-3</v>
      </c>
      <c r="E29" s="177">
        <f t="shared" si="3"/>
        <v>8.3333333333257542E-4</v>
      </c>
      <c r="F29" s="177"/>
      <c r="G29" s="16"/>
      <c r="H29" s="16"/>
      <c r="I29" s="16"/>
      <c r="J29" s="17"/>
    </row>
    <row r="30" spans="1:13" s="8" customFormat="1" ht="15" customHeight="1">
      <c r="A30" s="15"/>
      <c r="B30" s="16"/>
      <c r="C30" s="16"/>
      <c r="D30" s="16"/>
      <c r="E30" s="16"/>
      <c r="F30" s="16"/>
      <c r="G30" s="16"/>
      <c r="H30" s="16"/>
      <c r="I30" s="16"/>
      <c r="J30" s="17"/>
    </row>
    <row r="31" spans="1:13" s="8" customFormat="1" ht="15" customHeight="1">
      <c r="A31" s="15"/>
      <c r="B31" s="16"/>
      <c r="C31" s="16"/>
      <c r="D31" s="16"/>
      <c r="E31" s="16"/>
      <c r="F31" s="16"/>
      <c r="G31" s="16"/>
      <c r="H31" s="16"/>
      <c r="I31" s="16"/>
      <c r="J31" s="17"/>
    </row>
    <row r="32" spans="1:13" s="8" customFormat="1" ht="15" customHeight="1">
      <c r="A32" s="15"/>
      <c r="B32" s="16"/>
      <c r="C32" s="16"/>
      <c r="D32" s="16"/>
      <c r="E32" s="16"/>
      <c r="F32" s="16"/>
      <c r="G32" s="16"/>
      <c r="H32" s="16"/>
      <c r="I32" s="16"/>
      <c r="J32" s="17"/>
    </row>
    <row r="33" spans="1:10" s="8" customFormat="1" ht="15" customHeight="1">
      <c r="A33" s="15"/>
      <c r="B33" s="16"/>
      <c r="C33" s="16"/>
      <c r="D33" s="16"/>
      <c r="E33" s="16"/>
      <c r="F33" s="16"/>
      <c r="G33" s="16"/>
      <c r="H33" s="16"/>
      <c r="I33" s="16"/>
      <c r="J33" s="17"/>
    </row>
    <row r="34" spans="1:10" s="8" customFormat="1" ht="15" customHeight="1">
      <c r="A34" s="18"/>
      <c r="B34" s="19"/>
      <c r="C34" s="19"/>
      <c r="D34" s="19"/>
      <c r="E34" s="19"/>
      <c r="F34" s="19"/>
      <c r="G34" s="20"/>
    </row>
    <row r="35" spans="1:10" s="8" customFormat="1" ht="15" customHeight="1">
      <c r="A35" s="18"/>
      <c r="B35" s="19"/>
      <c r="C35" s="19"/>
      <c r="D35" s="19"/>
      <c r="E35" s="19"/>
      <c r="F35" s="19"/>
      <c r="G35" s="20"/>
    </row>
    <row r="36" spans="1:10" s="8" customFormat="1" ht="15" customHeight="1">
      <c r="A36" s="18"/>
      <c r="B36" s="19"/>
      <c r="C36" s="19"/>
      <c r="D36" s="19"/>
      <c r="E36" s="19"/>
      <c r="F36" s="19"/>
      <c r="G36" s="20"/>
    </row>
    <row r="37" spans="1:10" s="8" customFormat="1" ht="15" customHeight="1">
      <c r="A37" s="18"/>
      <c r="B37" s="19"/>
      <c r="C37" s="19"/>
      <c r="D37" s="19"/>
      <c r="E37" s="19"/>
      <c r="F37" s="19"/>
      <c r="G37" s="20"/>
    </row>
    <row r="38" spans="1:10" s="8" customFormat="1" ht="15" customHeight="1">
      <c r="A38" s="18"/>
      <c r="B38" s="19"/>
      <c r="C38" s="19"/>
      <c r="D38" s="19"/>
      <c r="E38" s="19"/>
      <c r="F38" s="19"/>
      <c r="G38" s="20"/>
    </row>
    <row r="39" spans="1:10" s="8" customFormat="1" ht="15" customHeight="1">
      <c r="A39" s="18"/>
      <c r="B39" s="19"/>
      <c r="C39" s="19"/>
      <c r="D39" s="19"/>
      <c r="E39" s="19"/>
      <c r="F39" s="19"/>
      <c r="G39" s="20"/>
    </row>
    <row r="40" spans="1:10" s="8" customFormat="1" ht="15" customHeight="1">
      <c r="A40" s="18"/>
      <c r="B40" s="19"/>
      <c r="C40" s="19"/>
      <c r="D40" s="19"/>
      <c r="E40" s="19"/>
      <c r="F40" s="19"/>
      <c r="G40" s="20"/>
    </row>
    <row r="41" spans="1:10" s="8" customFormat="1" ht="15" customHeight="1">
      <c r="A41" s="18"/>
      <c r="B41" s="24"/>
      <c r="C41" s="24"/>
      <c r="D41" s="24"/>
      <c r="E41" s="24"/>
      <c r="F41" s="24"/>
      <c r="G41" s="20"/>
    </row>
  </sheetData>
  <mergeCells count="14">
    <mergeCell ref="J24:J26"/>
    <mergeCell ref="G4:G6"/>
    <mergeCell ref="A23:D23"/>
    <mergeCell ref="E20:G20"/>
    <mergeCell ref="A22:D22"/>
    <mergeCell ref="E22:G22"/>
    <mergeCell ref="A21:D21"/>
    <mergeCell ref="E21:G21"/>
    <mergeCell ref="A1:G1"/>
    <mergeCell ref="A2:G2"/>
    <mergeCell ref="A24:A26"/>
    <mergeCell ref="B24:I24"/>
    <mergeCell ref="A20:D20"/>
    <mergeCell ref="A4:A6"/>
  </mergeCells>
  <phoneticPr fontId="0" type="noConversion"/>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worksheet>
</file>

<file path=xl/worksheets/sheet9.xml><?xml version="1.0" encoding="utf-8"?>
<worksheet xmlns="http://schemas.openxmlformats.org/spreadsheetml/2006/main" xmlns:r="http://schemas.openxmlformats.org/officeDocument/2006/relationships">
  <dimension ref="A1:M40"/>
  <sheetViews>
    <sheetView rightToLeft="1" view="pageBreakPreview" zoomScaleNormal="100" zoomScaleSheetLayoutView="100" workbookViewId="0">
      <selection activeCell="Q15" sqref="Q15"/>
    </sheetView>
  </sheetViews>
  <sheetFormatPr defaultRowHeight="15" customHeight="1"/>
  <cols>
    <col min="1" max="1" width="26.85546875" style="110" customWidth="1"/>
    <col min="2" max="2" width="12.7109375" style="110" customWidth="1"/>
    <col min="3" max="4" width="11.5703125" style="110" customWidth="1"/>
    <col min="5" max="5" width="9.85546875" style="110" customWidth="1"/>
    <col min="6" max="6" width="12.28515625" style="110" customWidth="1"/>
    <col min="7" max="7" width="31.42578125" style="110" customWidth="1"/>
    <col min="8" max="16384" width="9.140625" style="110"/>
  </cols>
  <sheetData>
    <row r="1" spans="1:13" s="109" customFormat="1" ht="21" customHeight="1">
      <c r="A1" s="404" t="s">
        <v>172</v>
      </c>
      <c r="B1" s="404"/>
      <c r="C1" s="404"/>
      <c r="D1" s="404"/>
      <c r="E1" s="404"/>
      <c r="F1" s="404"/>
      <c r="G1" s="404"/>
    </row>
    <row r="2" spans="1:13" ht="15.95" customHeight="1">
      <c r="A2" s="405" t="s">
        <v>174</v>
      </c>
      <c r="B2" s="405"/>
      <c r="C2" s="405"/>
      <c r="D2" s="405"/>
      <c r="E2" s="405"/>
      <c r="F2" s="405"/>
      <c r="G2" s="405"/>
    </row>
    <row r="3" spans="1:13" ht="6" customHeight="1">
      <c r="A3" s="111"/>
      <c r="B3" s="111"/>
      <c r="C3" s="111"/>
      <c r="D3" s="112"/>
      <c r="E3" s="113"/>
      <c r="F3" s="113"/>
      <c r="G3" s="114"/>
    </row>
    <row r="4" spans="1:13" s="118" customFormat="1" ht="15.95" customHeight="1">
      <c r="A4" s="406" t="s">
        <v>129</v>
      </c>
      <c r="B4" s="115" t="s">
        <v>63</v>
      </c>
      <c r="C4" s="116"/>
      <c r="D4" s="117"/>
      <c r="E4" s="117"/>
      <c r="F4" s="154" t="s">
        <v>4</v>
      </c>
      <c r="G4" s="409" t="s">
        <v>1</v>
      </c>
    </row>
    <row r="5" spans="1:13" s="121" customFormat="1" ht="15.75" customHeight="1">
      <c r="A5" s="407"/>
      <c r="B5" s="40" t="s">
        <v>77</v>
      </c>
      <c r="C5" s="120" t="s">
        <v>66</v>
      </c>
      <c r="D5" s="119" t="s">
        <v>67</v>
      </c>
      <c r="E5" s="119" t="s">
        <v>125</v>
      </c>
      <c r="F5" s="120" t="s">
        <v>68</v>
      </c>
      <c r="G5" s="410"/>
    </row>
    <row r="6" spans="1:13" s="121" customFormat="1" ht="42" customHeight="1">
      <c r="A6" s="408"/>
      <c r="B6" s="42" t="s">
        <v>78</v>
      </c>
      <c r="C6" s="123" t="s">
        <v>26</v>
      </c>
      <c r="D6" s="122" t="s">
        <v>27</v>
      </c>
      <c r="E6" s="122" t="s">
        <v>126</v>
      </c>
      <c r="F6" s="122" t="s">
        <v>28</v>
      </c>
      <c r="G6" s="411"/>
    </row>
    <row r="7" spans="1:13" s="127" customFormat="1" ht="15.95" customHeight="1">
      <c r="A7" s="124" t="s">
        <v>41</v>
      </c>
      <c r="B7" s="125">
        <v>118.33</v>
      </c>
      <c r="C7" s="125">
        <v>5.51</v>
      </c>
      <c r="D7" s="125">
        <v>15</v>
      </c>
      <c r="E7" s="125">
        <v>6.27</v>
      </c>
      <c r="F7" s="125">
        <v>5.51</v>
      </c>
      <c r="G7" s="126" t="s">
        <v>24</v>
      </c>
      <c r="H7" s="145"/>
      <c r="I7" s="145"/>
      <c r="J7" s="145"/>
      <c r="K7" s="145"/>
      <c r="L7" s="145"/>
      <c r="M7" s="145"/>
    </row>
    <row r="8" spans="1:13" s="127" customFormat="1" ht="15.95" customHeight="1">
      <c r="A8" s="124" t="s">
        <v>32</v>
      </c>
      <c r="B8" s="125">
        <v>121.67</v>
      </c>
      <c r="C8" s="125">
        <v>5.41</v>
      </c>
      <c r="D8" s="125">
        <v>15</v>
      </c>
      <c r="E8" s="125">
        <v>6.17</v>
      </c>
      <c r="F8" s="125">
        <v>5.41</v>
      </c>
      <c r="G8" s="126" t="s">
        <v>13</v>
      </c>
      <c r="H8" s="145"/>
      <c r="I8" s="145"/>
      <c r="J8" s="145"/>
      <c r="K8" s="145"/>
      <c r="L8" s="145"/>
      <c r="M8" s="145"/>
    </row>
    <row r="9" spans="1:13" s="127" customFormat="1" ht="15.95" customHeight="1">
      <c r="A9" s="124" t="s">
        <v>33</v>
      </c>
      <c r="B9" s="125">
        <v>120</v>
      </c>
      <c r="C9" s="125">
        <v>6.95</v>
      </c>
      <c r="D9" s="125">
        <v>14.5</v>
      </c>
      <c r="E9" s="125">
        <v>6.46</v>
      </c>
      <c r="F9" s="125">
        <v>6.95</v>
      </c>
      <c r="G9" s="126" t="s">
        <v>14</v>
      </c>
      <c r="H9" s="145"/>
      <c r="I9" s="145"/>
      <c r="J9" s="145"/>
      <c r="K9" s="145"/>
      <c r="L9" s="145"/>
      <c r="M9" s="145"/>
    </row>
    <row r="10" spans="1:13" s="127" customFormat="1" ht="15.95" customHeight="1">
      <c r="A10" s="124" t="s">
        <v>34</v>
      </c>
      <c r="B10" s="125">
        <v>121.67</v>
      </c>
      <c r="C10" s="125">
        <v>6.97</v>
      </c>
      <c r="D10" s="125">
        <v>15</v>
      </c>
      <c r="E10" s="125">
        <v>6.52</v>
      </c>
      <c r="F10" s="125">
        <v>6.97</v>
      </c>
      <c r="G10" s="126" t="s">
        <v>15</v>
      </c>
      <c r="H10" s="145"/>
      <c r="I10" s="145"/>
      <c r="J10" s="145"/>
      <c r="K10" s="145"/>
      <c r="L10" s="145"/>
      <c r="M10" s="145"/>
    </row>
    <row r="11" spans="1:13" s="127" customFormat="1" ht="15.95" customHeight="1">
      <c r="A11" s="124" t="s">
        <v>35</v>
      </c>
      <c r="B11" s="125">
        <v>121.67</v>
      </c>
      <c r="C11" s="125">
        <v>7.11</v>
      </c>
      <c r="D11" s="125">
        <v>15</v>
      </c>
      <c r="E11" s="125">
        <v>6.63</v>
      </c>
      <c r="F11" s="125">
        <v>7.11</v>
      </c>
      <c r="G11" s="126" t="s">
        <v>16</v>
      </c>
      <c r="H11" s="145"/>
      <c r="I11" s="145"/>
      <c r="J11" s="145"/>
      <c r="K11" s="145"/>
      <c r="L11" s="145"/>
      <c r="M11" s="145"/>
    </row>
    <row r="12" spans="1:13" s="127" customFormat="1" ht="15.95" customHeight="1">
      <c r="A12" s="124" t="s">
        <v>42</v>
      </c>
      <c r="B12" s="125">
        <v>120</v>
      </c>
      <c r="C12" s="125">
        <v>7.14</v>
      </c>
      <c r="D12" s="125">
        <v>14.5</v>
      </c>
      <c r="E12" s="125">
        <v>6.69</v>
      </c>
      <c r="F12" s="125">
        <v>7.14</v>
      </c>
      <c r="G12" s="126" t="s">
        <v>17</v>
      </c>
      <c r="H12" s="145"/>
      <c r="I12" s="145"/>
      <c r="J12" s="145"/>
      <c r="K12" s="145"/>
      <c r="L12" s="145"/>
      <c r="M12" s="145"/>
    </row>
    <row r="13" spans="1:13" s="127" customFormat="1" ht="15.95" customHeight="1">
      <c r="A13" s="124" t="s">
        <v>37</v>
      </c>
      <c r="B13" s="125">
        <v>120</v>
      </c>
      <c r="C13" s="125">
        <v>6.88</v>
      </c>
      <c r="D13" s="125">
        <v>14</v>
      </c>
      <c r="E13" s="125">
        <v>6.65</v>
      </c>
      <c r="F13" s="125">
        <v>6.88</v>
      </c>
      <c r="G13" s="126" t="s">
        <v>18</v>
      </c>
      <c r="H13" s="145"/>
      <c r="I13" s="145"/>
      <c r="J13" s="145"/>
      <c r="K13" s="145"/>
      <c r="L13" s="145"/>
      <c r="M13" s="145"/>
    </row>
    <row r="14" spans="1:13" s="127" customFormat="1" ht="15.95" customHeight="1">
      <c r="A14" s="124" t="s">
        <v>38</v>
      </c>
      <c r="B14" s="125">
        <v>121.67</v>
      </c>
      <c r="C14" s="125">
        <v>6.57</v>
      </c>
      <c r="D14" s="125">
        <v>13</v>
      </c>
      <c r="E14" s="125">
        <v>6.4</v>
      </c>
      <c r="F14" s="125">
        <v>6.57</v>
      </c>
      <c r="G14" s="126" t="s">
        <v>19</v>
      </c>
      <c r="H14" s="145"/>
      <c r="I14" s="145"/>
      <c r="J14" s="145"/>
      <c r="K14" s="145"/>
      <c r="L14" s="145"/>
      <c r="M14" s="145"/>
    </row>
    <row r="15" spans="1:13" s="127" customFormat="1" ht="15.95" customHeight="1">
      <c r="A15" s="124" t="s">
        <v>39</v>
      </c>
      <c r="B15" s="125">
        <v>120</v>
      </c>
      <c r="C15" s="125">
        <v>6.19</v>
      </c>
      <c r="D15" s="125">
        <v>13</v>
      </c>
      <c r="E15" s="125">
        <v>6.09</v>
      </c>
      <c r="F15" s="125">
        <v>6.19</v>
      </c>
      <c r="G15" s="126" t="s">
        <v>20</v>
      </c>
      <c r="H15" s="145"/>
      <c r="I15" s="145"/>
      <c r="J15" s="145"/>
      <c r="K15" s="145"/>
      <c r="L15" s="145"/>
      <c r="M15" s="145"/>
    </row>
    <row r="16" spans="1:13" s="127" customFormat="1" ht="15.95" customHeight="1">
      <c r="A16" s="124" t="s">
        <v>43</v>
      </c>
      <c r="B16" s="125">
        <v>121.67</v>
      </c>
      <c r="C16" s="125">
        <v>7</v>
      </c>
      <c r="D16" s="125">
        <v>13</v>
      </c>
      <c r="E16" s="125">
        <v>6.28</v>
      </c>
      <c r="F16" s="125">
        <v>7</v>
      </c>
      <c r="G16" s="126" t="s">
        <v>21</v>
      </c>
      <c r="H16" s="145"/>
      <c r="I16" s="145"/>
      <c r="J16" s="145"/>
      <c r="K16" s="145"/>
      <c r="L16" s="145"/>
      <c r="M16" s="145"/>
    </row>
    <row r="17" spans="1:13" s="127" customFormat="1" ht="15.95" customHeight="1">
      <c r="A17" s="124" t="s">
        <v>44</v>
      </c>
      <c r="B17" s="125">
        <v>121.67</v>
      </c>
      <c r="C17" s="125">
        <v>6.6</v>
      </c>
      <c r="D17" s="125">
        <v>13</v>
      </c>
      <c r="E17" s="125">
        <v>6.02</v>
      </c>
      <c r="F17" s="125">
        <v>6.6</v>
      </c>
      <c r="G17" s="126" t="s">
        <v>22</v>
      </c>
      <c r="H17" s="145"/>
      <c r="I17" s="145"/>
      <c r="J17" s="145"/>
      <c r="K17" s="145"/>
      <c r="L17" s="145"/>
      <c r="M17" s="145"/>
    </row>
    <row r="18" spans="1:13" s="127" customFormat="1" ht="15.95" customHeight="1">
      <c r="A18" s="124" t="s">
        <v>45</v>
      </c>
      <c r="B18" s="125">
        <v>120</v>
      </c>
      <c r="C18" s="125">
        <v>6.4499999999999993</v>
      </c>
      <c r="D18" s="125">
        <v>13</v>
      </c>
      <c r="E18" s="125">
        <v>6.2050000000000001</v>
      </c>
      <c r="F18" s="125">
        <v>6.4499999999999993</v>
      </c>
      <c r="G18" s="126" t="s">
        <v>23</v>
      </c>
      <c r="H18" s="145"/>
      <c r="I18" s="145"/>
      <c r="J18" s="145"/>
      <c r="K18" s="145"/>
      <c r="L18" s="145"/>
      <c r="M18" s="145"/>
    </row>
    <row r="19" spans="1:13" s="118" customFormat="1" ht="15.95" customHeight="1">
      <c r="A19" s="128" t="s">
        <v>46</v>
      </c>
      <c r="B19" s="129">
        <f t="shared" ref="B19:F19" si="0">AVERAGE(B7:B18)</f>
        <v>120.69583333333334</v>
      </c>
      <c r="C19" s="129">
        <f t="shared" si="0"/>
        <v>6.5649999999999986</v>
      </c>
      <c r="D19" s="129">
        <f t="shared" si="0"/>
        <v>14</v>
      </c>
      <c r="E19" s="129">
        <f t="shared" si="0"/>
        <v>6.3654166666666656</v>
      </c>
      <c r="F19" s="129">
        <f t="shared" si="0"/>
        <v>6.5649999999999986</v>
      </c>
      <c r="G19" s="160" t="s">
        <v>5</v>
      </c>
    </row>
    <row r="20" spans="1:13" s="118" customFormat="1" ht="15.95" customHeight="1">
      <c r="A20" s="391" t="s">
        <v>82</v>
      </c>
      <c r="B20" s="391"/>
      <c r="C20" s="391"/>
      <c r="D20" s="391"/>
      <c r="E20" s="318" t="s">
        <v>103</v>
      </c>
      <c r="F20" s="318"/>
      <c r="G20" s="318"/>
    </row>
    <row r="21" spans="1:13" s="131" customFormat="1" ht="37.5" customHeight="1">
      <c r="A21" s="412" t="s">
        <v>163</v>
      </c>
      <c r="B21" s="412"/>
      <c r="C21" s="412"/>
      <c r="D21" s="412"/>
      <c r="E21" s="413" t="s">
        <v>165</v>
      </c>
      <c r="F21" s="413"/>
      <c r="G21" s="413"/>
      <c r="H21" s="130"/>
      <c r="I21" s="130"/>
      <c r="J21" s="130"/>
    </row>
    <row r="22" spans="1:13" s="131" customFormat="1" ht="15" customHeight="1">
      <c r="A22" s="414"/>
      <c r="B22" s="415"/>
      <c r="C22" s="415"/>
      <c r="D22" s="415"/>
      <c r="E22" s="132"/>
      <c r="F22" s="132"/>
      <c r="G22" s="132"/>
      <c r="H22" s="132"/>
      <c r="I22" s="132"/>
      <c r="J22" s="132"/>
    </row>
    <row r="23" spans="1:13" s="131" customFormat="1" ht="15" customHeight="1">
      <c r="A23" s="416"/>
      <c r="B23" s="418"/>
      <c r="C23" s="418"/>
      <c r="D23" s="418"/>
      <c r="E23" s="418"/>
      <c r="F23" s="418"/>
      <c r="G23" s="418"/>
      <c r="H23" s="418"/>
      <c r="I23" s="418"/>
      <c r="J23" s="403"/>
    </row>
    <row r="24" spans="1:13" s="131" customFormat="1" ht="15" customHeight="1">
      <c r="A24" s="417"/>
      <c r="B24" s="133"/>
      <c r="C24" s="133"/>
      <c r="D24" s="133"/>
      <c r="E24" s="133"/>
      <c r="F24" s="178">
        <f>SUM(F7:F18)/12</f>
        <v>6.5649999999999986</v>
      </c>
      <c r="G24" s="133"/>
      <c r="H24" s="133"/>
      <c r="I24" s="134"/>
      <c r="J24" s="403"/>
    </row>
    <row r="25" spans="1:13" s="131" customFormat="1" ht="15" customHeight="1">
      <c r="A25" s="417"/>
      <c r="B25" s="135"/>
      <c r="C25" s="135"/>
      <c r="D25" s="135"/>
      <c r="E25" s="135"/>
      <c r="F25" s="135"/>
      <c r="G25" s="135"/>
      <c r="H25" s="135"/>
      <c r="I25" s="136"/>
      <c r="J25" s="403"/>
    </row>
    <row r="26" spans="1:13" s="131" customFormat="1" ht="15" customHeight="1">
      <c r="A26" s="137"/>
      <c r="B26" s="138"/>
      <c r="C26" s="138"/>
      <c r="D26" s="138"/>
      <c r="E26" s="138"/>
      <c r="F26" s="138">
        <f>ROUND(F24,2)</f>
        <v>6.57</v>
      </c>
      <c r="G26" s="138"/>
      <c r="H26" s="138"/>
      <c r="I26" s="138"/>
      <c r="J26" s="139"/>
    </row>
    <row r="27" spans="1:13" s="131" customFormat="1" ht="15" customHeight="1">
      <c r="A27" s="137"/>
      <c r="B27" s="138"/>
      <c r="C27" s="138"/>
      <c r="D27" s="138"/>
      <c r="E27" s="138"/>
      <c r="F27" s="138"/>
      <c r="G27" s="138"/>
      <c r="H27" s="138"/>
      <c r="I27" s="138"/>
      <c r="J27" s="139"/>
    </row>
    <row r="28" spans="1:13" s="131" customFormat="1" ht="15" customHeight="1">
      <c r="A28" s="137"/>
      <c r="B28" s="138"/>
      <c r="C28" s="138"/>
      <c r="D28" s="138"/>
      <c r="E28" s="138"/>
      <c r="F28" s="138"/>
      <c r="G28" s="138"/>
      <c r="H28" s="138"/>
      <c r="I28" s="138"/>
      <c r="J28" s="139"/>
    </row>
    <row r="29" spans="1:13" s="131" customFormat="1" ht="15" customHeight="1">
      <c r="A29" s="137"/>
      <c r="B29" s="138"/>
      <c r="C29" s="138"/>
      <c r="D29" s="138"/>
      <c r="E29" s="138"/>
      <c r="F29" s="138"/>
      <c r="G29" s="138"/>
      <c r="H29" s="138"/>
      <c r="I29" s="138"/>
      <c r="J29" s="139"/>
    </row>
    <row r="30" spans="1:13" s="131" customFormat="1" ht="15" customHeight="1">
      <c r="A30" s="137"/>
      <c r="B30" s="138"/>
      <c r="C30" s="138"/>
      <c r="D30" s="138"/>
      <c r="E30" s="138"/>
      <c r="F30" s="138"/>
      <c r="G30" s="138"/>
      <c r="H30" s="138"/>
      <c r="I30" s="138"/>
      <c r="J30" s="139"/>
    </row>
    <row r="31" spans="1:13" s="131" customFormat="1" ht="15" customHeight="1">
      <c r="A31" s="137"/>
      <c r="B31" s="138"/>
      <c r="C31" s="138"/>
      <c r="D31" s="138"/>
      <c r="E31" s="138"/>
      <c r="F31" s="138"/>
      <c r="G31" s="138"/>
      <c r="H31" s="138"/>
      <c r="I31" s="138"/>
      <c r="J31" s="139"/>
    </row>
    <row r="32" spans="1:13" s="131" customFormat="1" ht="15" customHeight="1">
      <c r="A32" s="137"/>
      <c r="B32" s="138"/>
      <c r="C32" s="138"/>
      <c r="D32" s="138"/>
      <c r="E32" s="138"/>
      <c r="F32" s="138"/>
      <c r="G32" s="138"/>
      <c r="H32" s="138"/>
      <c r="I32" s="138"/>
      <c r="J32" s="139"/>
    </row>
    <row r="33" spans="1:7" s="131" customFormat="1" ht="15" customHeight="1">
      <c r="A33" s="140"/>
      <c r="B33" s="141"/>
      <c r="C33" s="141"/>
      <c r="D33" s="141"/>
      <c r="E33" s="141"/>
      <c r="F33" s="141"/>
      <c r="G33" s="142"/>
    </row>
    <row r="34" spans="1:7" s="131" customFormat="1" ht="15" customHeight="1">
      <c r="A34" s="140"/>
      <c r="B34" s="141"/>
      <c r="C34" s="141"/>
      <c r="D34" s="141"/>
      <c r="E34" s="141"/>
      <c r="F34" s="141"/>
      <c r="G34" s="142"/>
    </row>
    <row r="35" spans="1:7" s="131" customFormat="1" ht="15" customHeight="1">
      <c r="A35" s="140"/>
      <c r="B35" s="141"/>
      <c r="C35" s="141"/>
      <c r="D35" s="141"/>
      <c r="E35" s="141"/>
      <c r="F35" s="141"/>
      <c r="G35" s="142"/>
    </row>
    <row r="36" spans="1:7" s="131" customFormat="1" ht="15" customHeight="1">
      <c r="A36" s="140"/>
      <c r="B36" s="141"/>
      <c r="C36" s="141"/>
      <c r="D36" s="141"/>
      <c r="E36" s="141"/>
      <c r="F36" s="141"/>
      <c r="G36" s="142"/>
    </row>
    <row r="37" spans="1:7" s="131" customFormat="1" ht="15" customHeight="1">
      <c r="A37" s="140"/>
      <c r="B37" s="141"/>
      <c r="C37" s="141"/>
      <c r="D37" s="141"/>
      <c r="E37" s="141"/>
      <c r="F37" s="141"/>
      <c r="G37" s="142"/>
    </row>
    <row r="38" spans="1:7" s="131" customFormat="1" ht="15" customHeight="1">
      <c r="A38" s="140"/>
      <c r="B38" s="141"/>
      <c r="C38" s="141"/>
      <c r="D38" s="141"/>
      <c r="E38" s="141"/>
      <c r="F38" s="141"/>
      <c r="G38" s="142"/>
    </row>
    <row r="39" spans="1:7" s="131" customFormat="1" ht="15" customHeight="1">
      <c r="A39" s="140"/>
      <c r="B39" s="141"/>
      <c r="C39" s="141"/>
      <c r="D39" s="141"/>
      <c r="E39" s="141"/>
      <c r="F39" s="141"/>
      <c r="G39" s="142"/>
    </row>
    <row r="40" spans="1:7" s="131" customFormat="1" ht="15" customHeight="1">
      <c r="A40" s="140"/>
      <c r="B40" s="143"/>
      <c r="C40" s="143"/>
      <c r="D40" s="143"/>
      <c r="E40" s="143"/>
      <c r="F40" s="143"/>
      <c r="G40" s="142"/>
    </row>
  </sheetData>
  <mergeCells count="12">
    <mergeCell ref="J23:J25"/>
    <mergeCell ref="A1:G1"/>
    <mergeCell ref="A2:G2"/>
    <mergeCell ref="A4:A6"/>
    <mergeCell ref="G4:G6"/>
    <mergeCell ref="A21:D21"/>
    <mergeCell ref="E21:G21"/>
    <mergeCell ref="A22:D22"/>
    <mergeCell ref="A23:A25"/>
    <mergeCell ref="B23:I23"/>
    <mergeCell ref="E20:G20"/>
    <mergeCell ref="A20:D20"/>
  </mergeCells>
  <printOptions horizontalCentered="1"/>
  <pageMargins left="0.59055118110236227" right="0.59055118110236227" top="0.78740157480314965" bottom="0.59055118110236227" header="0.59055118110236227" footer="0.59055118110236227"/>
  <pageSetup paperSize="9" orientation="landscape" r:id="rId1"/>
  <headerFooter alignWithMargins="0">
    <oddHeader>&amp;L&amp;8PCBS: Energy Tables 2015&amp;R&amp;"Simplified Arabic,Regular"&amp;8&amp;K00+000ل&amp;K000000PCBS: جداول الطاقة 2015</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مستورد</vt:lpstr>
      <vt:lpstr>مستورد 2</vt:lpstr>
      <vt:lpstr>سلسلة زمنية (2)</vt:lpstr>
      <vt:lpstr>كهرباء 1</vt:lpstr>
      <vt:lpstr>كهرباء 2</vt:lpstr>
      <vt:lpstr>كهرباء 3</vt:lpstr>
      <vt:lpstr>سولار التوليد</vt:lpstr>
      <vt:lpstr>أسعار الضفة</vt:lpstr>
      <vt:lpstr>أسعار القدس</vt:lpstr>
      <vt:lpstr>أسعار غزة</vt:lpstr>
      <vt:lpstr>الميزان بالتيراجول</vt:lpstr>
      <vt:lpstr>الميزان بالوحدات الفيزيائية</vt:lpstr>
      <vt:lpstr>'أسعار الضفة'!Print_Area</vt:lpstr>
      <vt:lpstr>'أسعار القدس'!Print_Area</vt:lpstr>
      <vt:lpstr>'أسعار غزة'!Print_Area</vt:lpstr>
      <vt:lpstr>'سلسلة زمنية (2)'!Print_Area</vt:lpstr>
      <vt:lpstr>'سولار التوليد'!Print_Area</vt:lpstr>
      <vt:lpstr>'كهرباء 1'!Print_Area</vt:lpstr>
      <vt:lpstr>'كهرباء 2'!Print_Area</vt:lpstr>
      <vt:lpstr>'كهرباء 3'!Print_Area</vt:lpstr>
      <vt:lpstr>مستورد!Print_Area</vt:lpstr>
      <vt:lpstr>'مستورد 2'!Print_Area</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rasha</dc:creator>
  <cp:lastModifiedBy>abdullaha</cp:lastModifiedBy>
  <cp:lastPrinted>2017-03-07T08:29:19Z</cp:lastPrinted>
  <dcterms:created xsi:type="dcterms:W3CDTF">2002-05-12T06:05:37Z</dcterms:created>
  <dcterms:modified xsi:type="dcterms:W3CDTF">2017-06-04T08:38:06Z</dcterms:modified>
</cp:coreProperties>
</file>